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icius-a.vieira\Downloads\"/>
    </mc:Choice>
  </mc:AlternateContent>
  <xr:revisionPtr revIDLastSave="0" documentId="13_ncr:1_{396BA399-FC4D-448A-B245-F1DBDA3C56D2}" xr6:coauthVersionLast="47" xr6:coauthVersionMax="47" xr10:uidLastSave="{00000000-0000-0000-0000-000000000000}"/>
  <bookViews>
    <workbookView xWindow="-120" yWindow="-120" windowWidth="29040" windowHeight="15720" tabRatio="590" xr2:uid="{00000000-000D-0000-FFFF-FFFF00000000}"/>
  </bookViews>
  <sheets>
    <sheet name="17º ano" sheetId="3" r:id="rId1"/>
  </sheets>
  <definedNames>
    <definedName name="_xlnm._FilterDatabase" localSheetId="0" hidden="1">'17º ano'!$A$6:$BJ$40</definedName>
    <definedName name="_xlnm.Print_Area" localSheetId="0">'17º ano'!$B$1:$AW$43</definedName>
    <definedName name="_xlnm.Print_Titles" localSheetId="0">'17º ano'!$B:$C,'17º ano'!$1:$6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3" i="3" l="1"/>
  <c r="AB33" i="3"/>
  <c r="AA33" i="3"/>
  <c r="Y33" i="3"/>
  <c r="X33" i="3"/>
  <c r="T33" i="3"/>
  <c r="AH17" i="3"/>
  <c r="AH19" i="3"/>
  <c r="AD33" i="3" l="1"/>
  <c r="Z33" i="3"/>
  <c r="W33" i="3"/>
  <c r="V33" i="3"/>
  <c r="U33" i="3"/>
  <c r="X31" i="3"/>
  <c r="W31" i="3"/>
  <c r="V31" i="3"/>
  <c r="U31" i="3"/>
  <c r="T31" i="3"/>
  <c r="AD29" i="3"/>
  <c r="AC29" i="3"/>
  <c r="AB29" i="3"/>
  <c r="AA29" i="3"/>
  <c r="Z29" i="3"/>
  <c r="Y29" i="3"/>
  <c r="X29" i="3"/>
  <c r="W29" i="3"/>
  <c r="V29" i="3"/>
  <c r="U29" i="3"/>
  <c r="T29" i="3"/>
  <c r="W27" i="3"/>
  <c r="V27" i="3"/>
  <c r="U27" i="3"/>
  <c r="T27" i="3"/>
  <c r="W25" i="3"/>
  <c r="V25" i="3"/>
  <c r="U25" i="3"/>
  <c r="T25" i="3"/>
  <c r="AF26" i="3"/>
  <c r="AH26" i="3"/>
  <c r="Z23" i="3"/>
  <c r="Y23" i="3"/>
  <c r="X23" i="3"/>
  <c r="W23" i="3"/>
  <c r="V23" i="3"/>
  <c r="U23" i="3"/>
  <c r="T23" i="3"/>
  <c r="AH40" i="3"/>
  <c r="AF40" i="3"/>
  <c r="AG40" i="3" s="1"/>
  <c r="AH39" i="3"/>
  <c r="AI39" i="3" s="1"/>
  <c r="AI40" i="3" s="1"/>
  <c r="AF39" i="3"/>
  <c r="AG39" i="3" s="1"/>
  <c r="AH38" i="3"/>
  <c r="AF38" i="3"/>
  <c r="AG38" i="3" s="1"/>
  <c r="AH37" i="3"/>
  <c r="AI37" i="3" s="1"/>
  <c r="AF37" i="3"/>
  <c r="AG37" i="3" s="1"/>
  <c r="AF11" i="3"/>
  <c r="AG11" i="3" s="1"/>
  <c r="AH11" i="3"/>
  <c r="AI11" i="3" s="1"/>
  <c r="AF12" i="3"/>
  <c r="AG12" i="3" s="1"/>
  <c r="AH12" i="3"/>
  <c r="AF17" i="3"/>
  <c r="AG17" i="3" s="1"/>
  <c r="AI17" i="3"/>
  <c r="AF18" i="3"/>
  <c r="AG18" i="3" s="1"/>
  <c r="AH18" i="3"/>
  <c r="AF19" i="3"/>
  <c r="AG19" i="3" s="1"/>
  <c r="AI19" i="3"/>
  <c r="AF20" i="3"/>
  <c r="AG20" i="3"/>
  <c r="AH20" i="3"/>
  <c r="AI20" i="3" l="1"/>
  <c r="AI38" i="3"/>
  <c r="AI18" i="3"/>
  <c r="AI12" i="3"/>
  <c r="AH34" i="3"/>
  <c r="AF34" i="3"/>
  <c r="AG34" i="3" s="1"/>
  <c r="AI33" i="3"/>
  <c r="AF33" i="3"/>
  <c r="AG33" i="3" s="1"/>
  <c r="AH32" i="3"/>
  <c r="AF32" i="3"/>
  <c r="AG32" i="3" s="1"/>
  <c r="AI31" i="3"/>
  <c r="AF31" i="3"/>
  <c r="AG31" i="3" s="1"/>
  <c r="AH30" i="3"/>
  <c r="AF30" i="3"/>
  <c r="AG30" i="3" s="1"/>
  <c r="AI29" i="3"/>
  <c r="AF29" i="3"/>
  <c r="AG29" i="3" s="1"/>
  <c r="AH28" i="3"/>
  <c r="AF28" i="3"/>
  <c r="AG28" i="3" s="1"/>
  <c r="AI27" i="3"/>
  <c r="AF27" i="3"/>
  <c r="AG27" i="3" s="1"/>
  <c r="AG26" i="3"/>
  <c r="AI25" i="3"/>
  <c r="AF25" i="3"/>
  <c r="AG25" i="3" s="1"/>
  <c r="AI28" i="3" l="1"/>
  <c r="AI34" i="3"/>
  <c r="AI32" i="3"/>
  <c r="AI30" i="3"/>
  <c r="AI26" i="3"/>
  <c r="AH24" i="3" l="1"/>
  <c r="AF24" i="3"/>
  <c r="AG24" i="3" s="1"/>
  <c r="AI23" i="3"/>
  <c r="AF23" i="3"/>
  <c r="AG23" i="3" s="1"/>
  <c r="AH15" i="3"/>
  <c r="AI15" i="3" s="1"/>
  <c r="AF16" i="3"/>
  <c r="AG16" i="3" s="1"/>
  <c r="AF15" i="3"/>
  <c r="AG15" i="3" s="1"/>
  <c r="AH16" i="3"/>
  <c r="R17" i="3"/>
  <c r="R19" i="3"/>
  <c r="R15" i="3"/>
  <c r="R9" i="3"/>
  <c r="R11" i="3"/>
  <c r="AI16" i="3" l="1"/>
  <c r="AI24" i="3"/>
  <c r="R39" i="3"/>
  <c r="O39" i="3"/>
  <c r="R37" i="3"/>
  <c r="O37" i="3"/>
  <c r="R33" i="3"/>
  <c r="O33" i="3"/>
  <c r="R31" i="3"/>
  <c r="O31" i="3"/>
  <c r="R29" i="3"/>
  <c r="O29" i="3"/>
  <c r="R27" i="3"/>
  <c r="O27" i="3"/>
  <c r="R25" i="3"/>
  <c r="O25" i="3"/>
  <c r="R23" i="3"/>
  <c r="O23" i="3"/>
  <c r="O11" i="3"/>
  <c r="O9" i="3"/>
  <c r="AH10" i="3"/>
  <c r="AF10" i="3"/>
  <c r="AG10" i="3" s="1"/>
  <c r="AH9" i="3"/>
  <c r="AI9" i="3" s="1"/>
  <c r="AF9" i="3"/>
  <c r="AG9" i="3" s="1"/>
  <c r="AI10" i="3" l="1"/>
</calcChain>
</file>

<file path=xl/sharedStrings.xml><?xml version="1.0" encoding="utf-8"?>
<sst xmlns="http://schemas.openxmlformats.org/spreadsheetml/2006/main" count="159" uniqueCount="100">
  <si>
    <t>DESCRIÇÃO</t>
  </si>
  <si>
    <t>5.1.3</t>
  </si>
  <si>
    <t>Ruas Laterais em Pista Simples</t>
  </si>
  <si>
    <t>-</t>
  </si>
  <si>
    <t>6.5.1.1</t>
  </si>
  <si>
    <t>Implantação das Edificações - Balanças Fixas</t>
  </si>
  <si>
    <t>KM INICIAL</t>
  </si>
  <si>
    <t>KM FINAL</t>
  </si>
  <si>
    <t>VALOR TOTAL DA OBRA (R$)</t>
  </si>
  <si>
    <t>SITUAÇÃO DA OBRA</t>
  </si>
  <si>
    <t>DURAÇÃO DA OBRA (DIAS)</t>
  </si>
  <si>
    <t>Não iniciada</t>
  </si>
  <si>
    <t>Não se aplica</t>
  </si>
  <si>
    <t>Publicado</t>
  </si>
  <si>
    <t>P.E.R</t>
  </si>
  <si>
    <t xml:space="preserve">SITUAÇÃO </t>
  </si>
  <si>
    <t>% ACUMULADO</t>
  </si>
  <si>
    <t>PROJETO</t>
  </si>
  <si>
    <t>AMBIENTAL</t>
  </si>
  <si>
    <t>DUP</t>
  </si>
  <si>
    <t>DATA INÍCIO</t>
  </si>
  <si>
    <t>DATA CONCLUSÃO</t>
  </si>
  <si>
    <t>%</t>
  </si>
  <si>
    <t>R$</t>
  </si>
  <si>
    <t>PREVISTO</t>
  </si>
  <si>
    <t>EXECUTADO</t>
  </si>
  <si>
    <t>Deveria ter iniciado, mas não foi.</t>
  </si>
  <si>
    <t>Atrasada</t>
  </si>
  <si>
    <t>Inicada com real menor que previsto.</t>
  </si>
  <si>
    <t>No prazo</t>
  </si>
  <si>
    <t>Iniciada com real maior ou igual ao previsto.</t>
  </si>
  <si>
    <t>A iniciar</t>
  </si>
  <si>
    <t>Não iniciada, mas no prazo do TAC.</t>
  </si>
  <si>
    <t>CRONOGRAMA PROPOSTO</t>
  </si>
  <si>
    <t>TOTAL</t>
  </si>
  <si>
    <t>9º ANO</t>
  </si>
  <si>
    <t>MAR/16</t>
  </si>
  <si>
    <t>ABR/16</t>
  </si>
  <si>
    <t>MAI/16</t>
  </si>
  <si>
    <t>JUN/16</t>
  </si>
  <si>
    <t>JUL/16</t>
  </si>
  <si>
    <t>AGO/16</t>
  </si>
  <si>
    <t>SET/16</t>
  </si>
  <si>
    <t>OUT/16</t>
  </si>
  <si>
    <t>NOV/16</t>
  </si>
  <si>
    <t>DEZ/16</t>
  </si>
  <si>
    <t>JAN/17</t>
  </si>
  <si>
    <t>FEV/17</t>
  </si>
  <si>
    <t>% Acumulado Atual da Obra até 9º ano</t>
  </si>
  <si>
    <t>Atualização: 31/10/2015 - (Revisão 01 - 11/11/2015)</t>
  </si>
  <si>
    <t>Não iniciado</t>
  </si>
  <si>
    <t>Aprovado</t>
  </si>
  <si>
    <t>Licenciada</t>
  </si>
  <si>
    <t>ATRASADA</t>
  </si>
  <si>
    <t>5.2.2.1</t>
  </si>
  <si>
    <t>Execução de Terceiras Faixas - 88 km</t>
  </si>
  <si>
    <t>km 690+500 - Lavras/MG - Pista Sul (REFORMA)</t>
  </si>
  <si>
    <t>km 844+500 - São Sebastião da Bela Vista/MG - Pista Norte (REFORMA)</t>
  </si>
  <si>
    <t>km 939,800 ao km 939,000 - Pista Norte (0,80km)</t>
  </si>
  <si>
    <t>Em Elaboração</t>
  </si>
  <si>
    <t>REALIZADO ATÉ 16º ANO</t>
  </si>
  <si>
    <t>17º ANO</t>
  </si>
  <si>
    <t>PREVISTO A EXECUTAR NO 17º ANO</t>
  </si>
  <si>
    <t>km 934,000 ao km 934,300 - Pista  Sul (0,30km)</t>
  </si>
  <si>
    <t>TREVO KM 515+372</t>
  </si>
  <si>
    <t>515+372</t>
  </si>
  <si>
    <t>TREVO KM 890+235</t>
  </si>
  <si>
    <t>890+235</t>
  </si>
  <si>
    <t>Em elaboração</t>
  </si>
  <si>
    <t>TREVO KM 938+500</t>
  </si>
  <si>
    <t>938+500</t>
  </si>
  <si>
    <t>5.1.10</t>
  </si>
  <si>
    <t>Implantação de Trevos em Desnível, com Alças, em Pista Dupla - Completo - 5 unidades</t>
  </si>
  <si>
    <t>5.2.2.2</t>
  </si>
  <si>
    <t xml:space="preserve">Execução Terceira Faixa - km 22+300 ao km 41+000 - Pista Sul - Trecho 1 </t>
  </si>
  <si>
    <t>5.2.2.3</t>
  </si>
  <si>
    <t>Execução Terceira Faixa - km 35+360 ao km 41+000 - Pista Norte - Trecho 2</t>
  </si>
  <si>
    <t>5.2.2.4</t>
  </si>
  <si>
    <t xml:space="preserve">Execução Terceira Faixa - km 48+720 ao km 50+370 - Pista Sul - Trecho 3 </t>
  </si>
  <si>
    <t>5.2.2.5</t>
  </si>
  <si>
    <t>Execução Terceira Faixa - km 48+810 ao km 58+860 - Pista Norte - Trecho 4</t>
  </si>
  <si>
    <t>5.2.2.6</t>
  </si>
  <si>
    <t xml:space="preserve">Execução Terceira Faixa - km 52+140 ao km 54+080 - Pista Sul - Trecho 5 </t>
  </si>
  <si>
    <t>5.2.2.7</t>
  </si>
  <si>
    <t>Execução Terceira Faixa - km 56+200 ao km 65+800 - Pista Sul - Trecho 6</t>
  </si>
  <si>
    <t>MAR/24</t>
  </si>
  <si>
    <t>ABR/24</t>
  </si>
  <si>
    <t>MAI/24</t>
  </si>
  <si>
    <t>JUN/24</t>
  </si>
  <si>
    <t>JUL/24</t>
  </si>
  <si>
    <t>AGO/24</t>
  </si>
  <si>
    <t>SET/24</t>
  </si>
  <si>
    <t>OUT/24</t>
  </si>
  <si>
    <t>NOV/24</t>
  </si>
  <si>
    <t>DEZ/24</t>
  </si>
  <si>
    <t>JAN/25</t>
  </si>
  <si>
    <t>FEV/25</t>
  </si>
  <si>
    <t>PREVISTO E EXECUTADO ATÉ FEVEREIRO/2025</t>
  </si>
  <si>
    <t>Atualização: 18/01/2024</t>
  </si>
  <si>
    <t>Planejamento Anual 17º Ano de Concessão - 2024 / 2025 - (PER - 16ª RO /16ª RE) - Rev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</si>
</sst>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&quot;R$ &quot;#,##0_);[Red]\(&quot;R$ &quot;#,##0\)"/>
    <numFmt numFmtId="166" formatCode="&quot;R$ &quot;#,##0.00_);\(&quot;R$ &quot;#,##0.00\)"/>
    <numFmt numFmtId="167" formatCode="&quot;R$ &quot;#,##0.00_);[Red]\(&quot;R$ &quot;#,##0.00\)"/>
    <numFmt numFmtId="168" formatCode="_(* #,##0_);_(* \(#,##0\);_(* &quot;-&quot;_);_(@_)"/>
    <numFmt numFmtId="169" formatCode="_(&quot;R$ &quot;* #,##0.00_);_(&quot;R$ &quot;* \(#,##0.00\);_(&quot;R$ &quot;* &quot;-&quot;??_);_(@_)"/>
    <numFmt numFmtId="170" formatCode="_(* #,##0.00_);_(* \(#,##0.00\);_(* &quot;-&quot;??_);_(@_)"/>
    <numFmt numFmtId="171" formatCode="_([$€]* #,##0.00_);_([$€]* \(#,##0.00\);_([$€]* &quot;-&quot;??_);_(@_)"/>
    <numFmt numFmtId="172" formatCode="_(&quot;Cr$&quot;* #,##0_);_(&quot;Cr$&quot;* \(#,##0\);_(&quot;Cr$&quot;* &quot;-&quot;_);_(@_)"/>
    <numFmt numFmtId="173" formatCode="&quot;$&quot;#.00"/>
    <numFmt numFmtId="174" formatCode="#.00"/>
    <numFmt numFmtId="175" formatCode="&quot;$&quot;#."/>
    <numFmt numFmtId="176" formatCode="%#.00"/>
    <numFmt numFmtId="177" formatCode="#,##0."/>
    <numFmt numFmtId="178" formatCode="#,##0.000"/>
    <numFmt numFmtId="179" formatCode="#,##0.0000000000000"/>
    <numFmt numFmtId="180" formatCode="[$-416]mmm\-yy;@"/>
    <numFmt numFmtId="181" formatCode="_(&quot;$&quot;* #,##0.00_);_(&quot;$&quot;* \(#,##0.00\);_(&quot;$&quot;* &quot;-&quot;??_);_(@_)"/>
    <numFmt numFmtId="182" formatCode="_(* #.##0.00_);_(* \(#.##0.00\);_(* &quot;-&quot;??_);_(@_)"/>
    <numFmt numFmtId="183" formatCode="_-* #,##0.00\ _€_-;\-* #,##0.00\ _€_-;_-* &quot;-&quot;??\ _€_-;_-@_-"/>
    <numFmt numFmtId="184" formatCode="#,##0&quot; Pts&quot;;[Red]\-#,##0&quot; Pts&quot;"/>
    <numFmt numFmtId="185" formatCode="d/m/yy;@"/>
    <numFmt numFmtId="186" formatCode="&quot;R$&quot;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Helv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Helv"/>
    </font>
    <font>
      <sz val="10"/>
      <color indexed="8"/>
      <name val="MS Sans Serif"/>
      <family val="2"/>
    </font>
    <font>
      <i/>
      <sz val="1"/>
      <color indexed="8"/>
      <name val="Courier"/>
      <family val="3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9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8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37" fontId="13" fillId="0" borderId="0"/>
    <xf numFmtId="0" fontId="14" fillId="0" borderId="0">
      <protection locked="0"/>
    </xf>
    <xf numFmtId="0" fontId="14" fillId="0" borderId="0">
      <protection locked="0"/>
    </xf>
    <xf numFmtId="4" fontId="15" fillId="0" borderId="0">
      <protection locked="0"/>
    </xf>
    <xf numFmtId="168" fontId="16" fillId="0" borderId="0" applyFont="0" applyFill="0" applyBorder="0" applyAlignment="0" applyProtection="0"/>
    <xf numFmtId="0" fontId="17" fillId="0" borderId="0"/>
    <xf numFmtId="173" fontId="15" fillId="0" borderId="0">
      <protection locked="0"/>
    </xf>
    <xf numFmtId="172" fontId="16" fillId="0" borderId="0" applyFont="0" applyFill="0" applyBorder="0" applyAlignment="0" applyProtection="0"/>
    <xf numFmtId="0" fontId="15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171" fontId="18" fillId="0" borderId="0" applyFont="0" applyFill="0" applyBorder="0" applyAlignment="0" applyProtection="0"/>
    <xf numFmtId="0" fontId="15" fillId="0" borderId="0">
      <protection locked="0"/>
    </xf>
    <xf numFmtId="0" fontId="15" fillId="0" borderId="0">
      <protection locked="0"/>
    </xf>
    <xf numFmtId="0" fontId="19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9" fillId="0" borderId="0">
      <protection locked="0"/>
    </xf>
    <xf numFmtId="0" fontId="15" fillId="0" borderId="0">
      <protection locked="0"/>
    </xf>
    <xf numFmtId="174" fontId="15" fillId="0" borderId="0">
      <protection locked="0"/>
    </xf>
    <xf numFmtId="4" fontId="15" fillId="0" borderId="0">
      <protection locked="0"/>
    </xf>
    <xf numFmtId="174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173" fontId="15" fillId="0" borderId="0">
      <protection locked="0"/>
    </xf>
    <xf numFmtId="175" fontId="15" fillId="0" borderId="0">
      <protection locked="0"/>
    </xf>
    <xf numFmtId="0" fontId="20" fillId="0" borderId="0"/>
    <xf numFmtId="0" fontId="4" fillId="0" borderId="0"/>
    <xf numFmtId="0" fontId="17" fillId="0" borderId="0"/>
    <xf numFmtId="176" fontId="15" fillId="0" borderId="0">
      <protection locked="0"/>
    </xf>
    <xf numFmtId="176" fontId="15" fillId="0" borderId="0">
      <protection locked="0"/>
    </xf>
    <xf numFmtId="4" fontId="15" fillId="0" borderId="0">
      <protection locked="0"/>
    </xf>
    <xf numFmtId="177" fontId="15" fillId="0" borderId="0">
      <protection locked="0"/>
    </xf>
    <xf numFmtId="0" fontId="15" fillId="0" borderId="34">
      <protection locked="0"/>
    </xf>
    <xf numFmtId="0" fontId="15" fillId="0" borderId="34">
      <protection locked="0"/>
    </xf>
    <xf numFmtId="0" fontId="21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37" fontId="21" fillId="0" borderId="0"/>
    <xf numFmtId="37" fontId="21" fillId="0" borderId="0"/>
    <xf numFmtId="37" fontId="13" fillId="0" borderId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8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4" fillId="23" borderId="35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5" fillId="24" borderId="36" applyNumberFormat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5" fillId="24" borderId="36" applyNumberFormat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7" fillId="10" borderId="35" applyNumberFormat="0" applyAlignment="0" applyProtection="0"/>
    <xf numFmtId="0" fontId="27" fillId="10" borderId="35" applyNumberFormat="0" applyAlignment="0" applyProtection="0"/>
    <xf numFmtId="0" fontId="27" fillId="10" borderId="35" applyNumberFormat="0" applyAlignment="0" applyProtection="0"/>
    <xf numFmtId="0" fontId="3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34" fillId="0" borderId="38" applyNumberFormat="0" applyFill="0" applyAlignment="0" applyProtection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36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10" borderId="35" applyNumberFormat="0" applyAlignment="0" applyProtection="0"/>
    <xf numFmtId="0" fontId="26" fillId="0" borderId="37" applyNumberFormat="0" applyFill="0" applyAlignment="0" applyProtection="0"/>
    <xf numFmtId="0" fontId="4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4" fillId="0" borderId="0"/>
    <xf numFmtId="0" fontId="21" fillId="26" borderId="41" applyNumberFormat="0" applyFont="0" applyAlignment="0" applyProtection="0"/>
    <xf numFmtId="0" fontId="4" fillId="26" borderId="41" applyNumberFormat="0" applyFont="0" applyAlignment="0" applyProtection="0"/>
    <xf numFmtId="0" fontId="4" fillId="26" borderId="41" applyNumberFormat="0" applyFont="0" applyAlignment="0" applyProtection="0"/>
    <xf numFmtId="0" fontId="21" fillId="26" borderId="41" applyNumberFormat="0" applyFont="0" applyAlignment="0" applyProtection="0"/>
    <xf numFmtId="0" fontId="30" fillId="23" borderId="42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23" borderId="42" applyNumberFormat="0" applyAlignment="0" applyProtection="0"/>
    <xf numFmtId="0" fontId="30" fillId="23" borderId="42" applyNumberFormat="0" applyAlignment="0" applyProtection="0"/>
    <xf numFmtId="0" fontId="30" fillId="23" borderId="42" applyNumberFormat="0" applyAlignment="0" applyProtection="0"/>
    <xf numFmtId="170" fontId="21" fillId="0" borderId="0" applyFont="0" applyFill="0" applyBorder="0" applyAlignment="0" applyProtection="0"/>
    <xf numFmtId="17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8" applyNumberFormat="0" applyFill="0" applyAlignment="0" applyProtection="0"/>
    <xf numFmtId="0" fontId="34" fillId="0" borderId="38" applyNumberFormat="0" applyFill="0" applyAlignment="0" applyProtection="0"/>
    <xf numFmtId="0" fontId="34" fillId="0" borderId="38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5" fillId="0" borderId="39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43" applyNumberFormat="0" applyFill="0" applyAlignment="0" applyProtection="0"/>
    <xf numFmtId="0" fontId="37" fillId="0" borderId="43" applyNumberFormat="0" applyFill="0" applyAlignment="0" applyProtection="0"/>
    <xf numFmtId="0" fontId="15" fillId="0" borderId="34">
      <protection locked="0"/>
    </xf>
    <xf numFmtId="0" fontId="37" fillId="0" borderId="43" applyNumberFormat="0" applyFill="0" applyAlignment="0" applyProtection="0"/>
    <xf numFmtId="0" fontId="15" fillId="0" borderId="34">
      <protection locked="0"/>
    </xf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</cellStyleXfs>
  <cellXfs count="171">
    <xf numFmtId="0" fontId="0" fillId="0" borderId="0" xfId="0"/>
    <xf numFmtId="164" fontId="6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8" fillId="3" borderId="18" xfId="0" applyNumberFormat="1" applyFont="1" applyFill="1" applyBorder="1" applyAlignment="1">
      <alignment horizontal="center" vertical="center" wrapText="1"/>
    </xf>
    <xf numFmtId="14" fontId="8" fillId="3" borderId="44" xfId="0" applyNumberFormat="1" applyFont="1" applyFill="1" applyBorder="1" applyAlignment="1">
      <alignment horizontal="center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14" fontId="8" fillId="3" borderId="20" xfId="0" applyNumberFormat="1" applyFont="1" applyFill="1" applyBorder="1" applyAlignment="1">
      <alignment horizontal="center" vertical="center" wrapText="1"/>
    </xf>
    <xf numFmtId="10" fontId="8" fillId="3" borderId="18" xfId="1" applyNumberFormat="1" applyFont="1" applyFill="1" applyBorder="1" applyAlignment="1">
      <alignment horizontal="center" vertical="center" wrapText="1"/>
    </xf>
    <xf numFmtId="10" fontId="8" fillId="3" borderId="19" xfId="1" applyNumberFormat="1" applyFont="1" applyFill="1" applyBorder="1" applyAlignment="1">
      <alignment horizontal="center" vertical="center" wrapText="1"/>
    </xf>
    <xf numFmtId="10" fontId="6" fillId="4" borderId="32" xfId="1" applyNumberFormat="1" applyFont="1" applyFill="1" applyBorder="1" applyAlignment="1">
      <alignment horizontal="center" vertical="center" wrapText="1"/>
    </xf>
    <xf numFmtId="10" fontId="6" fillId="4" borderId="29" xfId="1" applyNumberFormat="1" applyFont="1" applyFill="1" applyBorder="1" applyAlignment="1">
      <alignment horizontal="center" vertical="center" wrapText="1"/>
    </xf>
    <xf numFmtId="10" fontId="6" fillId="4" borderId="33" xfId="1" applyNumberFormat="1" applyFont="1" applyFill="1" applyBorder="1" applyAlignment="1">
      <alignment horizontal="center" vertical="center" wrapText="1"/>
    </xf>
    <xf numFmtId="10" fontId="6" fillId="4" borderId="31" xfId="1" applyNumberFormat="1" applyFont="1" applyFill="1" applyBorder="1" applyAlignment="1">
      <alignment horizontal="center" vertical="center" wrapText="1"/>
    </xf>
    <xf numFmtId="0" fontId="11" fillId="3" borderId="23" xfId="0" quotePrefix="1" applyFont="1" applyFill="1" applyBorder="1" applyAlignment="1">
      <alignment horizontal="center" vertical="center" wrapText="1"/>
    </xf>
    <xf numFmtId="0" fontId="11" fillId="3" borderId="45" xfId="0" quotePrefix="1" applyFont="1" applyFill="1" applyBorder="1" applyAlignment="1">
      <alignment horizontal="center" vertical="center" wrapText="1"/>
    </xf>
    <xf numFmtId="0" fontId="11" fillId="3" borderId="46" xfId="0" quotePrefix="1" applyFont="1" applyFill="1" applyBorder="1" applyAlignment="1">
      <alignment horizontal="center" vertical="center" wrapText="1"/>
    </xf>
    <xf numFmtId="10" fontId="9" fillId="27" borderId="11" xfId="1" applyNumberFormat="1" applyFont="1" applyFill="1" applyBorder="1" applyAlignment="1">
      <alignment horizontal="center" vertical="center" wrapText="1"/>
    </xf>
    <xf numFmtId="186" fontId="9" fillId="27" borderId="13" xfId="1" applyNumberFormat="1" applyFont="1" applyFill="1" applyBorder="1" applyAlignment="1">
      <alignment horizontal="center" vertical="center" wrapText="1"/>
    </xf>
    <xf numFmtId="1" fontId="40" fillId="0" borderId="0" xfId="0" applyNumberFormat="1" applyFont="1"/>
    <xf numFmtId="10" fontId="6" fillId="4" borderId="15" xfId="1" applyNumberFormat="1" applyFont="1" applyFill="1" applyBorder="1" applyAlignment="1">
      <alignment horizontal="center" vertical="center" wrapText="1"/>
    </xf>
    <xf numFmtId="10" fontId="6" fillId="4" borderId="51" xfId="1" applyNumberFormat="1" applyFont="1" applyFill="1" applyBorder="1" applyAlignment="1">
      <alignment horizontal="center" vertical="center" wrapText="1"/>
    </xf>
    <xf numFmtId="186" fontId="6" fillId="4" borderId="31" xfId="1" applyNumberFormat="1" applyFont="1" applyFill="1" applyBorder="1" applyAlignment="1">
      <alignment horizontal="center" vertical="center" wrapText="1"/>
    </xf>
    <xf numFmtId="10" fontId="6" fillId="4" borderId="14" xfId="1" applyNumberFormat="1" applyFont="1" applyFill="1" applyBorder="1" applyAlignment="1">
      <alignment horizontal="center" vertical="center" wrapText="1"/>
    </xf>
    <xf numFmtId="10" fontId="5" fillId="27" borderId="9" xfId="1" applyNumberFormat="1" applyFont="1" applyFill="1" applyBorder="1" applyAlignment="1">
      <alignment horizontal="center" vertical="center" wrapText="1"/>
    </xf>
    <xf numFmtId="10" fontId="5" fillId="27" borderId="12" xfId="1" applyNumberFormat="1" applyFont="1" applyFill="1" applyBorder="1" applyAlignment="1">
      <alignment horizontal="center" vertical="center" wrapText="1"/>
    </xf>
    <xf numFmtId="10" fontId="5" fillId="27" borderId="13" xfId="1" applyNumberFormat="1" applyFont="1" applyFill="1" applyBorder="1" applyAlignment="1">
      <alignment horizontal="center" vertical="center" wrapText="1"/>
    </xf>
    <xf numFmtId="10" fontId="5" fillId="27" borderId="11" xfId="1" applyNumberFormat="1" applyFont="1" applyFill="1" applyBorder="1" applyAlignment="1">
      <alignment horizontal="center" vertical="center" wrapText="1"/>
    </xf>
    <xf numFmtId="186" fontId="5" fillId="27" borderId="13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41" fillId="0" borderId="0" xfId="0" applyNumberFormat="1" applyFont="1" applyAlignment="1">
      <alignment horizontal="center" vertical="center"/>
    </xf>
    <xf numFmtId="1" fontId="40" fillId="0" borderId="50" xfId="0" applyNumberFormat="1" applyFont="1" applyBorder="1" applyAlignment="1">
      <alignment horizontal="center"/>
    </xf>
    <xf numFmtId="0" fontId="42" fillId="0" borderId="0" xfId="0" applyFont="1"/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3" fillId="0" borderId="1" xfId="0" applyFont="1" applyBorder="1"/>
    <xf numFmtId="0" fontId="0" fillId="0" borderId="1" xfId="0" applyBorder="1"/>
    <xf numFmtId="0" fontId="3" fillId="27" borderId="1" xfId="0" applyFont="1" applyFill="1" applyBorder="1"/>
    <xf numFmtId="0" fontId="0" fillId="27" borderId="1" xfId="0" applyFill="1" applyBorder="1"/>
    <xf numFmtId="10" fontId="5" fillId="27" borderId="8" xfId="1" applyNumberFormat="1" applyFont="1" applyFill="1" applyBorder="1" applyAlignment="1">
      <alignment horizontal="center" vertical="center" wrapText="1"/>
    </xf>
    <xf numFmtId="186" fontId="5" fillId="27" borderId="10" xfId="1" applyNumberFormat="1" applyFont="1" applyFill="1" applyBorder="1" applyAlignment="1">
      <alignment horizontal="center" vertical="center" wrapText="1"/>
    </xf>
    <xf numFmtId="10" fontId="6" fillId="4" borderId="53" xfId="1" applyNumberFormat="1" applyFont="1" applyFill="1" applyBorder="1" applyAlignment="1">
      <alignment horizontal="center" vertical="center" wrapText="1"/>
    </xf>
    <xf numFmtId="10" fontId="6" fillId="4" borderId="52" xfId="1" applyNumberFormat="1" applyFont="1" applyFill="1" applyBorder="1" applyAlignment="1">
      <alignment horizontal="center" vertical="center" wrapText="1"/>
    </xf>
    <xf numFmtId="1" fontId="40" fillId="0" borderId="0" xfId="0" applyNumberFormat="1" applyFont="1" applyAlignment="1">
      <alignment horizontal="center"/>
    </xf>
    <xf numFmtId="0" fontId="11" fillId="3" borderId="55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0" fontId="5" fillId="27" borderId="54" xfId="1" applyNumberFormat="1" applyFont="1" applyFill="1" applyBorder="1" applyAlignment="1">
      <alignment horizontal="center" vertical="center" wrapText="1"/>
    </xf>
    <xf numFmtId="10" fontId="9" fillId="27" borderId="54" xfId="1" applyNumberFormat="1" applyFont="1" applyFill="1" applyBorder="1" applyAlignment="1">
      <alignment horizontal="center" vertical="center" wrapText="1"/>
    </xf>
    <xf numFmtId="10" fontId="9" fillId="27" borderId="12" xfId="1" applyNumberFormat="1" applyFont="1" applyFill="1" applyBorder="1" applyAlignment="1">
      <alignment horizontal="center" vertical="center" wrapText="1"/>
    </xf>
    <xf numFmtId="10" fontId="9" fillId="27" borderId="13" xfId="1" applyNumberFormat="1" applyFont="1" applyFill="1" applyBorder="1" applyAlignment="1">
      <alignment horizontal="center" vertical="center" wrapText="1"/>
    </xf>
    <xf numFmtId="10" fontId="6" fillId="4" borderId="30" xfId="1" applyNumberFormat="1" applyFont="1" applyFill="1" applyBorder="1" applyAlignment="1">
      <alignment horizontal="center" vertical="center" wrapText="1"/>
    </xf>
    <xf numFmtId="186" fontId="6" fillId="4" borderId="29" xfId="1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186" fontId="0" fillId="0" borderId="0" xfId="0" applyNumberFormat="1"/>
    <xf numFmtId="186" fontId="9" fillId="27" borderId="2" xfId="1" applyNumberFormat="1" applyFont="1" applyFill="1" applyBorder="1" applyAlignment="1">
      <alignment horizontal="center" vertical="center" wrapText="1"/>
    </xf>
    <xf numFmtId="186" fontId="5" fillId="27" borderId="2" xfId="1" applyNumberFormat="1" applyFont="1" applyFill="1" applyBorder="1" applyAlignment="1">
      <alignment horizontal="center" vertical="center" wrapText="1"/>
    </xf>
    <xf numFmtId="186" fontId="7" fillId="0" borderId="0" xfId="0" applyNumberFormat="1" applyFont="1"/>
    <xf numFmtId="10" fontId="0" fillId="0" borderId="0" xfId="0" applyNumberFormat="1"/>
    <xf numFmtId="164" fontId="0" fillId="0" borderId="0" xfId="0" applyNumberFormat="1"/>
    <xf numFmtId="10" fontId="7" fillId="0" borderId="0" xfId="0" applyNumberFormat="1" applyFont="1"/>
    <xf numFmtId="164" fontId="7" fillId="0" borderId="0" xfId="0" applyNumberFormat="1" applyFont="1"/>
    <xf numFmtId="164" fontId="5" fillId="0" borderId="1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15" xfId="2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48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6" fillId="4" borderId="14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14" fontId="6" fillId="4" borderId="30" xfId="0" applyNumberFormat="1" applyFont="1" applyFill="1" applyBorder="1" applyAlignment="1">
      <alignment horizontal="center" vertical="center" wrapText="1"/>
    </xf>
    <xf numFmtId="14" fontId="6" fillId="4" borderId="24" xfId="0" applyNumberFormat="1" applyFont="1" applyFill="1" applyBorder="1" applyAlignment="1">
      <alignment horizontal="center" vertical="center" wrapText="1"/>
    </xf>
    <xf numFmtId="14" fontId="6" fillId="4" borderId="32" xfId="0" applyNumberFormat="1" applyFont="1" applyFill="1" applyBorder="1" applyAlignment="1">
      <alignment horizontal="center" vertical="center" wrapText="1"/>
    </xf>
    <xf numFmtId="14" fontId="6" fillId="4" borderId="26" xfId="0" applyNumberFormat="1" applyFont="1" applyFill="1" applyBorder="1" applyAlignment="1">
      <alignment horizontal="center" vertical="center" wrapText="1"/>
    </xf>
    <xf numFmtId="14" fontId="6" fillId="4" borderId="29" xfId="0" applyNumberFormat="1" applyFont="1" applyFill="1" applyBorder="1" applyAlignment="1">
      <alignment horizontal="center" vertical="center" wrapText="1"/>
    </xf>
    <xf numFmtId="14" fontId="6" fillId="4" borderId="25" xfId="0" applyNumberFormat="1" applyFont="1" applyFill="1" applyBorder="1" applyAlignment="1">
      <alignment horizontal="center" vertical="center" wrapText="1"/>
    </xf>
    <xf numFmtId="185" fontId="6" fillId="4" borderId="30" xfId="0" applyNumberFormat="1" applyFont="1" applyFill="1" applyBorder="1" applyAlignment="1">
      <alignment horizontal="center" vertical="center" wrapText="1"/>
    </xf>
    <xf numFmtId="185" fontId="6" fillId="4" borderId="24" xfId="0" applyNumberFormat="1" applyFont="1" applyFill="1" applyBorder="1" applyAlignment="1">
      <alignment horizontal="center" vertical="center" wrapText="1"/>
    </xf>
    <xf numFmtId="185" fontId="6" fillId="4" borderId="32" xfId="0" applyNumberFormat="1" applyFont="1" applyFill="1" applyBorder="1" applyAlignment="1">
      <alignment horizontal="center" vertical="center" wrapText="1"/>
    </xf>
    <xf numFmtId="185" fontId="6" fillId="4" borderId="26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5" fillId="27" borderId="21" xfId="2" applyNumberFormat="1" applyFont="1" applyFill="1" applyBorder="1" applyAlignment="1">
      <alignment horizontal="center" vertical="center" wrapText="1"/>
    </xf>
    <xf numFmtId="1" fontId="5" fillId="27" borderId="4" xfId="2" applyNumberFormat="1" applyFont="1" applyFill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left" vertical="center" wrapText="1"/>
    </xf>
    <xf numFmtId="3" fontId="5" fillId="0" borderId="4" xfId="2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86" fontId="5" fillId="0" borderId="2" xfId="2" applyNumberFormat="1" applyFont="1" applyBorder="1" applyAlignment="1">
      <alignment horizontal="center" vertical="center" wrapText="1"/>
    </xf>
    <xf numFmtId="186" fontId="5" fillId="0" borderId="3" xfId="2" applyNumberFormat="1" applyFont="1" applyBorder="1" applyAlignment="1">
      <alignment horizontal="center" vertical="center" wrapText="1"/>
    </xf>
    <xf numFmtId="14" fontId="39" fillId="0" borderId="27" xfId="2" applyNumberFormat="1" applyFont="1" applyBorder="1" applyAlignment="1">
      <alignment horizontal="center" vertical="center" wrapText="1"/>
    </xf>
    <xf numFmtId="14" fontId="39" fillId="0" borderId="23" xfId="2" applyNumberFormat="1" applyFont="1" applyBorder="1" applyAlignment="1">
      <alignment horizontal="center" vertical="center" wrapText="1"/>
    </xf>
    <xf numFmtId="14" fontId="39" fillId="0" borderId="12" xfId="2" applyNumberFormat="1" applyFont="1" applyBorder="1" applyAlignment="1">
      <alignment horizontal="center" vertical="center" wrapText="1"/>
    </xf>
    <xf numFmtId="14" fontId="39" fillId="0" borderId="9" xfId="2" applyNumberFormat="1" applyFont="1" applyBorder="1" applyAlignment="1">
      <alignment horizontal="center" vertical="center" wrapText="1"/>
    </xf>
    <xf numFmtId="185" fontId="5" fillId="0" borderId="11" xfId="0" applyNumberFormat="1" applyFont="1" applyBorder="1" applyAlignment="1">
      <alignment horizontal="center" vertical="center" wrapText="1"/>
    </xf>
    <xf numFmtId="185" fontId="5" fillId="0" borderId="8" xfId="0" applyNumberFormat="1" applyFont="1" applyBorder="1" applyAlignment="1">
      <alignment horizontal="center" vertical="center" wrapText="1"/>
    </xf>
    <xf numFmtId="185" fontId="5" fillId="0" borderId="12" xfId="0" applyNumberFormat="1" applyFont="1" applyBorder="1" applyAlignment="1">
      <alignment horizontal="center" vertical="center" wrapText="1"/>
    </xf>
    <xf numFmtId="185" fontId="5" fillId="0" borderId="9" xfId="0" applyNumberFormat="1" applyFont="1" applyBorder="1" applyAlignment="1">
      <alignment horizontal="center" vertical="center" wrapText="1"/>
    </xf>
    <xf numFmtId="1" fontId="5" fillId="0" borderId="2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86" fontId="5" fillId="0" borderId="13" xfId="0" applyNumberFormat="1" applyFont="1" applyBorder="1" applyAlignment="1">
      <alignment horizontal="center" vertical="center" wrapText="1"/>
    </xf>
    <xf numFmtId="186" fontId="5" fillId="0" borderId="10" xfId="0" applyNumberFormat="1" applyFont="1" applyBorder="1" applyAlignment="1">
      <alignment horizontal="center" vertical="center" wrapText="1"/>
    </xf>
    <xf numFmtId="1" fontId="5" fillId="27" borderId="17" xfId="2" applyNumberFormat="1" applyFont="1" applyFill="1" applyBorder="1" applyAlignment="1">
      <alignment horizontal="center" vertical="center" wrapText="1"/>
    </xf>
    <xf numFmtId="3" fontId="5" fillId="0" borderId="17" xfId="2" applyNumberFormat="1" applyFont="1" applyBorder="1" applyAlignment="1">
      <alignment horizontal="left" vertical="center" wrapText="1"/>
    </xf>
    <xf numFmtId="3" fontId="6" fillId="4" borderId="14" xfId="0" applyNumberFormat="1" applyFont="1" applyFill="1" applyBorder="1" applyAlignment="1">
      <alignment horizontal="left" vertical="center" wrapText="1"/>
    </xf>
    <xf numFmtId="3" fontId="6" fillId="4" borderId="17" xfId="0" applyNumberFormat="1" applyFont="1" applyFill="1" applyBorder="1" applyAlignment="1">
      <alignment horizontal="left" vertical="center" wrapText="1"/>
    </xf>
    <xf numFmtId="164" fontId="8" fillId="4" borderId="14" xfId="0" applyNumberFormat="1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86" fontId="6" fillId="4" borderId="14" xfId="0" applyNumberFormat="1" applyFont="1" applyFill="1" applyBorder="1" applyAlignment="1">
      <alignment horizontal="center" vertical="center" wrapText="1"/>
    </xf>
    <xf numFmtId="186" fontId="6" fillId="4" borderId="17" xfId="0" applyNumberFormat="1" applyFont="1" applyFill="1" applyBorder="1" applyAlignment="1">
      <alignment horizontal="center" vertical="center" wrapText="1"/>
    </xf>
    <xf numFmtId="14" fontId="39" fillId="0" borderId="24" xfId="2" applyNumberFormat="1" applyFont="1" applyBorder="1" applyAlignment="1">
      <alignment horizontal="center" vertical="center" wrapText="1"/>
    </xf>
    <xf numFmtId="14" fontId="39" fillId="0" borderId="22" xfId="2" applyNumberFormat="1" applyFont="1" applyBorder="1" applyAlignment="1">
      <alignment horizontal="center" vertical="center" wrapText="1"/>
    </xf>
    <xf numFmtId="14" fontId="39" fillId="0" borderId="31" xfId="2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left" vertical="center" wrapText="1"/>
    </xf>
    <xf numFmtId="3" fontId="5" fillId="0" borderId="3" xfId="2" applyNumberFormat="1" applyFon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4" fontId="39" fillId="0" borderId="11" xfId="2" applyNumberFormat="1" applyFont="1" applyBorder="1" applyAlignment="1">
      <alignment horizontal="center" vertical="center" wrapText="1"/>
    </xf>
    <xf numFmtId="14" fontId="39" fillId="0" borderId="28" xfId="2" applyNumberFormat="1" applyFont="1" applyBorder="1" applyAlignment="1">
      <alignment horizontal="center" vertical="center" wrapText="1"/>
    </xf>
    <xf numFmtId="1" fontId="5" fillId="27" borderId="15" xfId="2" applyNumberFormat="1" applyFont="1" applyFill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2" fontId="5" fillId="0" borderId="24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44" fontId="5" fillId="0" borderId="21" xfId="886" applyFont="1" applyFill="1" applyBorder="1" applyAlignment="1">
      <alignment horizontal="center" vertical="center"/>
    </xf>
    <xf numFmtId="44" fontId="5" fillId="0" borderId="17" xfId="886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0" fontId="9" fillId="27" borderId="21" xfId="1" applyNumberFormat="1" applyFont="1" applyFill="1" applyBorder="1" applyAlignment="1">
      <alignment horizontal="center" vertical="center" wrapText="1"/>
    </xf>
    <xf numFmtId="10" fontId="9" fillId="27" borderId="4" xfId="1" applyNumberFormat="1" applyFont="1" applyFill="1" applyBorder="1" applyAlignment="1">
      <alignment horizontal="center" vertical="center" wrapText="1"/>
    </xf>
    <xf numFmtId="186" fontId="5" fillId="27" borderId="21" xfId="2" applyNumberFormat="1" applyFont="1" applyFill="1" applyBorder="1" applyAlignment="1">
      <alignment horizontal="center" vertical="center" wrapText="1"/>
    </xf>
    <xf numFmtId="186" fontId="5" fillId="27" borderId="17" xfId="2" applyNumberFormat="1" applyFont="1" applyFill="1" applyBorder="1" applyAlignment="1">
      <alignment horizontal="center" vertical="center" wrapText="1"/>
    </xf>
    <xf numFmtId="10" fontId="10" fillId="2" borderId="7" xfId="1" applyNumberFormat="1" applyFont="1" applyFill="1" applyBorder="1" applyAlignment="1">
      <alignment horizontal="center" vertical="center" wrapText="1"/>
    </xf>
    <xf numFmtId="10" fontId="10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44" fillId="0" borderId="0" xfId="0" applyNumberFormat="1" applyFont="1" applyAlignment="1">
      <alignment horizontal="center"/>
    </xf>
    <xf numFmtId="1" fontId="6" fillId="3" borderId="4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0" fontId="8" fillId="3" borderId="47" xfId="1" applyNumberFormat="1" applyFont="1" applyFill="1" applyBorder="1" applyAlignment="1">
      <alignment horizontal="center" vertical="center" wrapText="1"/>
    </xf>
    <xf numFmtId="10" fontId="8" fillId="3" borderId="48" xfId="1" applyNumberFormat="1" applyFont="1" applyFill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 vertical="center" wrapText="1"/>
    </xf>
    <xf numFmtId="14" fontId="10" fillId="2" borderId="5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0" fontId="10" fillId="2" borderId="5" xfId="1" applyNumberFormat="1" applyFont="1" applyFill="1" applyBorder="1" applyAlignment="1">
      <alignment horizontal="center" vertical="center" wrapText="1"/>
    </xf>
  </cellXfs>
  <cellStyles count="887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Ênfase1 2" xfId="49" xr:uid="{00000000-0005-0000-0000-000006000000}"/>
    <cellStyle name="20% - Ênfase1 3" xfId="50" xr:uid="{00000000-0005-0000-0000-000007000000}"/>
    <cellStyle name="20% - Ênfase1 4" xfId="48" xr:uid="{00000000-0005-0000-0000-000008000000}"/>
    <cellStyle name="20% - Ênfase2 2" xfId="52" xr:uid="{00000000-0005-0000-0000-000009000000}"/>
    <cellStyle name="20% - Ênfase2 3" xfId="53" xr:uid="{00000000-0005-0000-0000-00000A000000}"/>
    <cellStyle name="20% - Ênfase2 4" xfId="51" xr:uid="{00000000-0005-0000-0000-00000B000000}"/>
    <cellStyle name="20% - Ênfase3 2" xfId="55" xr:uid="{00000000-0005-0000-0000-00000C000000}"/>
    <cellStyle name="20% - Ênfase3 3" xfId="56" xr:uid="{00000000-0005-0000-0000-00000D000000}"/>
    <cellStyle name="20% - Ênfase3 4" xfId="54" xr:uid="{00000000-0005-0000-0000-00000E000000}"/>
    <cellStyle name="20% - Ênfase4 2" xfId="58" xr:uid="{00000000-0005-0000-0000-00000F000000}"/>
    <cellStyle name="20% - Ênfase4 3" xfId="59" xr:uid="{00000000-0005-0000-0000-000010000000}"/>
    <cellStyle name="20% - Ênfase4 4" xfId="57" xr:uid="{00000000-0005-0000-0000-000011000000}"/>
    <cellStyle name="20% - Ênfase5 2" xfId="61" xr:uid="{00000000-0005-0000-0000-000012000000}"/>
    <cellStyle name="20% - Ênfase5 3" xfId="62" xr:uid="{00000000-0005-0000-0000-000013000000}"/>
    <cellStyle name="20% - Ênfase5 4" xfId="60" xr:uid="{00000000-0005-0000-0000-000014000000}"/>
    <cellStyle name="20% - Ênfase6 2" xfId="64" xr:uid="{00000000-0005-0000-0000-000015000000}"/>
    <cellStyle name="20% - Ênfase6 3" xfId="65" xr:uid="{00000000-0005-0000-0000-000016000000}"/>
    <cellStyle name="20% - Ênfase6 4" xfId="63" xr:uid="{00000000-0005-0000-0000-000017000000}"/>
    <cellStyle name="40% - Accent1" xfId="66" xr:uid="{00000000-0005-0000-0000-000018000000}"/>
    <cellStyle name="40% - Accent2" xfId="67" xr:uid="{00000000-0005-0000-0000-000019000000}"/>
    <cellStyle name="40% - Accent3" xfId="68" xr:uid="{00000000-0005-0000-0000-00001A000000}"/>
    <cellStyle name="40% - Accent4" xfId="69" xr:uid="{00000000-0005-0000-0000-00001B000000}"/>
    <cellStyle name="40% - Accent5" xfId="70" xr:uid="{00000000-0005-0000-0000-00001C000000}"/>
    <cellStyle name="40% - Accent6" xfId="71" xr:uid="{00000000-0005-0000-0000-00001D000000}"/>
    <cellStyle name="40% - Ênfase1 2" xfId="73" xr:uid="{00000000-0005-0000-0000-00001E000000}"/>
    <cellStyle name="40% - Ênfase1 3" xfId="74" xr:uid="{00000000-0005-0000-0000-00001F000000}"/>
    <cellStyle name="40% - Ênfase1 4" xfId="72" xr:uid="{00000000-0005-0000-0000-000020000000}"/>
    <cellStyle name="40% - Ênfase2 2" xfId="76" xr:uid="{00000000-0005-0000-0000-000021000000}"/>
    <cellStyle name="40% - Ênfase2 3" xfId="77" xr:uid="{00000000-0005-0000-0000-000022000000}"/>
    <cellStyle name="40% - Ênfase2 4" xfId="75" xr:uid="{00000000-0005-0000-0000-000023000000}"/>
    <cellStyle name="40% - Ênfase3 2" xfId="79" xr:uid="{00000000-0005-0000-0000-000024000000}"/>
    <cellStyle name="40% - Ênfase3 3" xfId="80" xr:uid="{00000000-0005-0000-0000-000025000000}"/>
    <cellStyle name="40% - Ênfase3 4" xfId="78" xr:uid="{00000000-0005-0000-0000-000026000000}"/>
    <cellStyle name="40% - Ênfase4 2" xfId="82" xr:uid="{00000000-0005-0000-0000-000027000000}"/>
    <cellStyle name="40% - Ênfase4 3" xfId="83" xr:uid="{00000000-0005-0000-0000-000028000000}"/>
    <cellStyle name="40% - Ênfase4 4" xfId="81" xr:uid="{00000000-0005-0000-0000-000029000000}"/>
    <cellStyle name="40% - Ênfase5 2" xfId="85" xr:uid="{00000000-0005-0000-0000-00002A000000}"/>
    <cellStyle name="40% - Ênfase5 3" xfId="86" xr:uid="{00000000-0005-0000-0000-00002B000000}"/>
    <cellStyle name="40% - Ênfase5 4" xfId="84" xr:uid="{00000000-0005-0000-0000-00002C000000}"/>
    <cellStyle name="40% - Ênfase6 2" xfId="88" xr:uid="{00000000-0005-0000-0000-00002D000000}"/>
    <cellStyle name="40% - Ênfase6 3" xfId="89" xr:uid="{00000000-0005-0000-0000-00002E000000}"/>
    <cellStyle name="40% - Ênfase6 4" xfId="87" xr:uid="{00000000-0005-0000-0000-00002F000000}"/>
    <cellStyle name="60% - Accent1" xfId="90" xr:uid="{00000000-0005-0000-0000-000030000000}"/>
    <cellStyle name="60% - Accent2" xfId="91" xr:uid="{00000000-0005-0000-0000-000031000000}"/>
    <cellStyle name="60% - Accent3" xfId="92" xr:uid="{00000000-0005-0000-0000-000032000000}"/>
    <cellStyle name="60% - Accent4" xfId="93" xr:uid="{00000000-0005-0000-0000-000033000000}"/>
    <cellStyle name="60% - Accent5" xfId="94" xr:uid="{00000000-0005-0000-0000-000034000000}"/>
    <cellStyle name="60% - Accent6" xfId="95" xr:uid="{00000000-0005-0000-0000-000035000000}"/>
    <cellStyle name="60% - Ênfase1 2" xfId="97" xr:uid="{00000000-0005-0000-0000-000036000000}"/>
    <cellStyle name="60% - Ênfase1 3" xfId="98" xr:uid="{00000000-0005-0000-0000-000037000000}"/>
    <cellStyle name="60% - Ênfase1 4" xfId="96" xr:uid="{00000000-0005-0000-0000-000038000000}"/>
    <cellStyle name="60% - Ênfase2 2" xfId="100" xr:uid="{00000000-0005-0000-0000-000039000000}"/>
    <cellStyle name="60% - Ênfase2 3" xfId="101" xr:uid="{00000000-0005-0000-0000-00003A000000}"/>
    <cellStyle name="60% - Ênfase2 4" xfId="99" xr:uid="{00000000-0005-0000-0000-00003B000000}"/>
    <cellStyle name="60% - Ênfase3 2" xfId="103" xr:uid="{00000000-0005-0000-0000-00003C000000}"/>
    <cellStyle name="60% - Ênfase3 3" xfId="104" xr:uid="{00000000-0005-0000-0000-00003D000000}"/>
    <cellStyle name="60% - Ênfase3 4" xfId="102" xr:uid="{00000000-0005-0000-0000-00003E000000}"/>
    <cellStyle name="60% - Ênfase4 2" xfId="106" xr:uid="{00000000-0005-0000-0000-00003F000000}"/>
    <cellStyle name="60% - Ênfase4 3" xfId="107" xr:uid="{00000000-0005-0000-0000-000040000000}"/>
    <cellStyle name="60% - Ênfase4 4" xfId="105" xr:uid="{00000000-0005-0000-0000-000041000000}"/>
    <cellStyle name="60% - Ênfase5 2" xfId="109" xr:uid="{00000000-0005-0000-0000-000042000000}"/>
    <cellStyle name="60% - Ênfase5 3" xfId="110" xr:uid="{00000000-0005-0000-0000-000043000000}"/>
    <cellStyle name="60% - Ênfase5 4" xfId="108" xr:uid="{00000000-0005-0000-0000-000044000000}"/>
    <cellStyle name="60% - Ênfase6 2" xfId="112" xr:uid="{00000000-0005-0000-0000-000045000000}"/>
    <cellStyle name="60% - Ênfase6 3" xfId="113" xr:uid="{00000000-0005-0000-0000-000046000000}"/>
    <cellStyle name="60% - Ênfase6 4" xfId="111" xr:uid="{00000000-0005-0000-0000-000047000000}"/>
    <cellStyle name="A3 297 x 420 mm" xfId="4" xr:uid="{00000000-0005-0000-0000-000048000000}"/>
    <cellStyle name="A3 297 x 420 mm 2" xfId="115" xr:uid="{00000000-0005-0000-0000-000049000000}"/>
    <cellStyle name="A3 297 x 420 mm 3" xfId="116" xr:uid="{00000000-0005-0000-0000-00004A000000}"/>
    <cellStyle name="A3 297 x 420 mm 4" xfId="114" xr:uid="{00000000-0005-0000-0000-00004B000000}"/>
    <cellStyle name="Accent1" xfId="117" xr:uid="{00000000-0005-0000-0000-00004C000000}"/>
    <cellStyle name="Accent2" xfId="118" xr:uid="{00000000-0005-0000-0000-00004D000000}"/>
    <cellStyle name="Accent3" xfId="119" xr:uid="{00000000-0005-0000-0000-00004E000000}"/>
    <cellStyle name="Accent4" xfId="120" xr:uid="{00000000-0005-0000-0000-00004F000000}"/>
    <cellStyle name="Accent5" xfId="121" xr:uid="{00000000-0005-0000-0000-000050000000}"/>
    <cellStyle name="Accent6" xfId="122" xr:uid="{00000000-0005-0000-0000-000051000000}"/>
    <cellStyle name="Bad" xfId="123" xr:uid="{00000000-0005-0000-0000-000052000000}"/>
    <cellStyle name="Bom 2" xfId="125" xr:uid="{00000000-0005-0000-0000-000053000000}"/>
    <cellStyle name="Bom 3" xfId="126" xr:uid="{00000000-0005-0000-0000-000054000000}"/>
    <cellStyle name="Bom 4" xfId="124" xr:uid="{00000000-0005-0000-0000-000055000000}"/>
    <cellStyle name="Cabecera 1" xfId="5" xr:uid="{00000000-0005-0000-0000-000056000000}"/>
    <cellStyle name="Cabecera 2" xfId="6" xr:uid="{00000000-0005-0000-0000-000057000000}"/>
    <cellStyle name="Calculation" xfId="127" xr:uid="{00000000-0005-0000-0000-000058000000}"/>
    <cellStyle name="Cálculo 2" xfId="129" xr:uid="{00000000-0005-0000-0000-000059000000}"/>
    <cellStyle name="Cálculo 3" xfId="130" xr:uid="{00000000-0005-0000-0000-00005A000000}"/>
    <cellStyle name="Cálculo 4" xfId="128" xr:uid="{00000000-0005-0000-0000-00005B000000}"/>
    <cellStyle name="Célula de Verificação 2" xfId="132" xr:uid="{00000000-0005-0000-0000-00005C000000}"/>
    <cellStyle name="Célula de Verificação 3" xfId="133" xr:uid="{00000000-0005-0000-0000-00005D000000}"/>
    <cellStyle name="Célula de Verificação 4" xfId="131" xr:uid="{00000000-0005-0000-0000-00005E000000}"/>
    <cellStyle name="Célula Vinculada 2" xfId="135" xr:uid="{00000000-0005-0000-0000-00005F000000}"/>
    <cellStyle name="Célula Vinculada 3" xfId="136" xr:uid="{00000000-0005-0000-0000-000060000000}"/>
    <cellStyle name="Célula Vinculada 4" xfId="134" xr:uid="{00000000-0005-0000-0000-000061000000}"/>
    <cellStyle name="Check Cell" xfId="137" xr:uid="{00000000-0005-0000-0000-000062000000}"/>
    <cellStyle name="Comma" xfId="7" xr:uid="{00000000-0005-0000-0000-000063000000}"/>
    <cellStyle name="Comma [0]" xfId="8" xr:uid="{00000000-0005-0000-0000-000064000000}"/>
    <cellStyle name="Comma0 - Estilo2" xfId="9" xr:uid="{00000000-0005-0000-0000-000065000000}"/>
    <cellStyle name="Currency" xfId="10" xr:uid="{00000000-0005-0000-0000-000066000000}"/>
    <cellStyle name="Currency [0]" xfId="11" xr:uid="{00000000-0005-0000-0000-000067000000}"/>
    <cellStyle name="Date" xfId="12" xr:uid="{00000000-0005-0000-0000-000068000000}"/>
    <cellStyle name="Dia" xfId="13" xr:uid="{00000000-0005-0000-0000-000069000000}"/>
    <cellStyle name="Encabez1" xfId="14" xr:uid="{00000000-0005-0000-0000-00006A000000}"/>
    <cellStyle name="Encabez2" xfId="15" xr:uid="{00000000-0005-0000-0000-00006B000000}"/>
    <cellStyle name="Ênfase1 2" xfId="139" xr:uid="{00000000-0005-0000-0000-00006C000000}"/>
    <cellStyle name="Ênfase1 3" xfId="140" xr:uid="{00000000-0005-0000-0000-00006D000000}"/>
    <cellStyle name="Ênfase1 4" xfId="138" xr:uid="{00000000-0005-0000-0000-00006E000000}"/>
    <cellStyle name="Ênfase2 2" xfId="142" xr:uid="{00000000-0005-0000-0000-00006F000000}"/>
    <cellStyle name="Ênfase2 3" xfId="143" xr:uid="{00000000-0005-0000-0000-000070000000}"/>
    <cellStyle name="Ênfase2 4" xfId="141" xr:uid="{00000000-0005-0000-0000-000071000000}"/>
    <cellStyle name="Ênfase3 2" xfId="145" xr:uid="{00000000-0005-0000-0000-000072000000}"/>
    <cellStyle name="Ênfase3 3" xfId="146" xr:uid="{00000000-0005-0000-0000-000073000000}"/>
    <cellStyle name="Ênfase3 4" xfId="144" xr:uid="{00000000-0005-0000-0000-000074000000}"/>
    <cellStyle name="Ênfase4 2" xfId="148" xr:uid="{00000000-0005-0000-0000-000075000000}"/>
    <cellStyle name="Ênfase4 3" xfId="149" xr:uid="{00000000-0005-0000-0000-000076000000}"/>
    <cellStyle name="Ênfase4 4" xfId="147" xr:uid="{00000000-0005-0000-0000-000077000000}"/>
    <cellStyle name="Ênfase5 2" xfId="151" xr:uid="{00000000-0005-0000-0000-000078000000}"/>
    <cellStyle name="Ênfase5 3" xfId="152" xr:uid="{00000000-0005-0000-0000-000079000000}"/>
    <cellStyle name="Ênfase5 4" xfId="150" xr:uid="{00000000-0005-0000-0000-00007A000000}"/>
    <cellStyle name="Ênfase6 2" xfId="154" xr:uid="{00000000-0005-0000-0000-00007B000000}"/>
    <cellStyle name="Ênfase6 3" xfId="155" xr:uid="{00000000-0005-0000-0000-00007C000000}"/>
    <cellStyle name="Ênfase6 4" xfId="153" xr:uid="{00000000-0005-0000-0000-00007D000000}"/>
    <cellStyle name="Entrada 2" xfId="157" xr:uid="{00000000-0005-0000-0000-00007E000000}"/>
    <cellStyle name="Entrada 3" xfId="158" xr:uid="{00000000-0005-0000-0000-00007F000000}"/>
    <cellStyle name="Entrada 4" xfId="156" xr:uid="{00000000-0005-0000-0000-000080000000}"/>
    <cellStyle name="Euro" xfId="16" xr:uid="{00000000-0005-0000-0000-000081000000}"/>
    <cellStyle name="Explanatory Text" xfId="159" xr:uid="{00000000-0005-0000-0000-000082000000}"/>
    <cellStyle name="F2" xfId="17" xr:uid="{00000000-0005-0000-0000-000083000000}"/>
    <cellStyle name="F3" xfId="18" xr:uid="{00000000-0005-0000-0000-000084000000}"/>
    <cellStyle name="F4" xfId="19" xr:uid="{00000000-0005-0000-0000-000085000000}"/>
    <cellStyle name="F5" xfId="20" xr:uid="{00000000-0005-0000-0000-000086000000}"/>
    <cellStyle name="F6" xfId="21" xr:uid="{00000000-0005-0000-0000-000087000000}"/>
    <cellStyle name="F7" xfId="22" xr:uid="{00000000-0005-0000-0000-000088000000}"/>
    <cellStyle name="F8" xfId="23" xr:uid="{00000000-0005-0000-0000-000089000000}"/>
    <cellStyle name="Fecha" xfId="24" xr:uid="{00000000-0005-0000-0000-00008A000000}"/>
    <cellStyle name="Fijo" xfId="25" xr:uid="{00000000-0005-0000-0000-00008B000000}"/>
    <cellStyle name="Financiero" xfId="26" xr:uid="{00000000-0005-0000-0000-00008C000000}"/>
    <cellStyle name="Fixed" xfId="27" xr:uid="{00000000-0005-0000-0000-00008D000000}"/>
    <cellStyle name="Good" xfId="160" xr:uid="{00000000-0005-0000-0000-00008E000000}"/>
    <cellStyle name="Heading 1" xfId="161" xr:uid="{00000000-0005-0000-0000-00008F000000}"/>
    <cellStyle name="Heading 2" xfId="162" xr:uid="{00000000-0005-0000-0000-000090000000}"/>
    <cellStyle name="Heading 3" xfId="163" xr:uid="{00000000-0005-0000-0000-000091000000}"/>
    <cellStyle name="Heading 4" xfId="164" xr:uid="{00000000-0005-0000-0000-000092000000}"/>
    <cellStyle name="Heading1" xfId="28" xr:uid="{00000000-0005-0000-0000-000093000000}"/>
    <cellStyle name="Heading2" xfId="29" xr:uid="{00000000-0005-0000-0000-000094000000}"/>
    <cellStyle name="Incorreto 2" xfId="166" xr:uid="{00000000-0005-0000-0000-000095000000}"/>
    <cellStyle name="Incorreto 3" xfId="167" xr:uid="{00000000-0005-0000-0000-000096000000}"/>
    <cellStyle name="Incorreto 4" xfId="165" xr:uid="{00000000-0005-0000-0000-000097000000}"/>
    <cellStyle name="Input" xfId="168" xr:uid="{00000000-0005-0000-0000-000098000000}"/>
    <cellStyle name="Linked Cell" xfId="169" xr:uid="{00000000-0005-0000-0000-000099000000}"/>
    <cellStyle name="M S SANS SERIF" xfId="170" xr:uid="{00000000-0005-0000-0000-00009A000000}"/>
    <cellStyle name="Millares_Hoja Mensual 2008 - Lote 02 - Autopista Planalto Sul - Mar2008" xfId="171" xr:uid="{00000000-0005-0000-0000-00009B000000}"/>
    <cellStyle name="Moeda" xfId="886" builtinId="4"/>
    <cellStyle name="Moeda 10" xfId="881" xr:uid="{00000000-0005-0000-0000-00009C000000}"/>
    <cellStyle name="Moeda 2" xfId="172" xr:uid="{00000000-0005-0000-0000-00009D000000}"/>
    <cellStyle name="Moeda 3" xfId="173" xr:uid="{00000000-0005-0000-0000-00009E000000}"/>
    <cellStyle name="Moeda 4" xfId="174" xr:uid="{00000000-0005-0000-0000-00009F000000}"/>
    <cellStyle name="Moeda 5" xfId="175" xr:uid="{00000000-0005-0000-0000-0000A0000000}"/>
    <cellStyle name="Moeda 5 2" xfId="176" xr:uid="{00000000-0005-0000-0000-0000A1000000}"/>
    <cellStyle name="Moeda 6" xfId="177" xr:uid="{00000000-0005-0000-0000-0000A2000000}"/>
    <cellStyle name="Moeda 7" xfId="178" xr:uid="{00000000-0005-0000-0000-0000A3000000}"/>
    <cellStyle name="Moeda 8" xfId="179" xr:uid="{00000000-0005-0000-0000-0000A4000000}"/>
    <cellStyle name="Moeda 9" xfId="180" xr:uid="{00000000-0005-0000-0000-0000A5000000}"/>
    <cellStyle name="Moneda [0]_Abrev." xfId="181" xr:uid="{00000000-0005-0000-0000-0000A6000000}"/>
    <cellStyle name="Moneda_Abrev." xfId="182" xr:uid="{00000000-0005-0000-0000-0000A7000000}"/>
    <cellStyle name="Monetario" xfId="30" xr:uid="{00000000-0005-0000-0000-0000A8000000}"/>
    <cellStyle name="Monetario0" xfId="31" xr:uid="{00000000-0005-0000-0000-0000A9000000}"/>
    <cellStyle name="Neutra 2" xfId="184" xr:uid="{00000000-0005-0000-0000-0000AA000000}"/>
    <cellStyle name="Neutra 3" xfId="185" xr:uid="{00000000-0005-0000-0000-0000AB000000}"/>
    <cellStyle name="Neutra 4" xfId="183" xr:uid="{00000000-0005-0000-0000-0000AC000000}"/>
    <cellStyle name="Neutral" xfId="186" xr:uid="{00000000-0005-0000-0000-0000AD000000}"/>
    <cellStyle name="No-definido" xfId="32" xr:uid="{00000000-0005-0000-0000-0000AE000000}"/>
    <cellStyle name="Normal" xfId="0" builtinId="0"/>
    <cellStyle name="Normal 2" xfId="3" xr:uid="{00000000-0005-0000-0000-0000B0000000}"/>
    <cellStyle name="Normal 2 10" xfId="270" xr:uid="{00000000-0005-0000-0000-0000B1000000}"/>
    <cellStyle name="Normal 2 10 2" xfId="286" xr:uid="{00000000-0005-0000-0000-0000B2000000}"/>
    <cellStyle name="Normal 2 10 2 2" xfId="319" xr:uid="{00000000-0005-0000-0000-0000B3000000}"/>
    <cellStyle name="Normal 2 10 2 2 2" xfId="450" xr:uid="{00000000-0005-0000-0000-0000B4000000}"/>
    <cellStyle name="Normal 2 10 2 2 3" xfId="581" xr:uid="{00000000-0005-0000-0000-0000B5000000}"/>
    <cellStyle name="Normal 2 10 2 2 4" xfId="712" xr:uid="{00000000-0005-0000-0000-0000B6000000}"/>
    <cellStyle name="Normal 2 10 2 2 5" xfId="843" xr:uid="{00000000-0005-0000-0000-0000B7000000}"/>
    <cellStyle name="Normal 2 10 2 3" xfId="351" xr:uid="{00000000-0005-0000-0000-0000B8000000}"/>
    <cellStyle name="Normal 2 10 2 3 2" xfId="482" xr:uid="{00000000-0005-0000-0000-0000B9000000}"/>
    <cellStyle name="Normal 2 10 2 3 3" xfId="613" xr:uid="{00000000-0005-0000-0000-0000BA000000}"/>
    <cellStyle name="Normal 2 10 2 3 4" xfId="744" xr:uid="{00000000-0005-0000-0000-0000BB000000}"/>
    <cellStyle name="Normal 2 10 2 3 5" xfId="875" xr:uid="{00000000-0005-0000-0000-0000BC000000}"/>
    <cellStyle name="Normal 2 10 2 4" xfId="418" xr:uid="{00000000-0005-0000-0000-0000BD000000}"/>
    <cellStyle name="Normal 2 10 2 4 2" xfId="549" xr:uid="{00000000-0005-0000-0000-0000BE000000}"/>
    <cellStyle name="Normal 2 10 2 4 3" xfId="680" xr:uid="{00000000-0005-0000-0000-0000BF000000}"/>
    <cellStyle name="Normal 2 10 2 4 4" xfId="811" xr:uid="{00000000-0005-0000-0000-0000C0000000}"/>
    <cellStyle name="Normal 2 10 2 5" xfId="383" xr:uid="{00000000-0005-0000-0000-0000C1000000}"/>
    <cellStyle name="Normal 2 10 2 6" xfId="514" xr:uid="{00000000-0005-0000-0000-0000C2000000}"/>
    <cellStyle name="Normal 2 10 2 7" xfId="645" xr:uid="{00000000-0005-0000-0000-0000C3000000}"/>
    <cellStyle name="Normal 2 10 2 8" xfId="776" xr:uid="{00000000-0005-0000-0000-0000C4000000}"/>
    <cellStyle name="Normal 2 10 3" xfId="303" xr:uid="{00000000-0005-0000-0000-0000C5000000}"/>
    <cellStyle name="Normal 2 10 3 2" xfId="434" xr:uid="{00000000-0005-0000-0000-0000C6000000}"/>
    <cellStyle name="Normal 2 10 3 3" xfId="565" xr:uid="{00000000-0005-0000-0000-0000C7000000}"/>
    <cellStyle name="Normal 2 10 3 4" xfId="696" xr:uid="{00000000-0005-0000-0000-0000C8000000}"/>
    <cellStyle name="Normal 2 10 3 5" xfId="827" xr:uid="{00000000-0005-0000-0000-0000C9000000}"/>
    <cellStyle name="Normal 2 10 4" xfId="335" xr:uid="{00000000-0005-0000-0000-0000CA000000}"/>
    <cellStyle name="Normal 2 10 4 2" xfId="466" xr:uid="{00000000-0005-0000-0000-0000CB000000}"/>
    <cellStyle name="Normal 2 10 4 3" xfId="597" xr:uid="{00000000-0005-0000-0000-0000CC000000}"/>
    <cellStyle name="Normal 2 10 4 4" xfId="728" xr:uid="{00000000-0005-0000-0000-0000CD000000}"/>
    <cellStyle name="Normal 2 10 4 5" xfId="859" xr:uid="{00000000-0005-0000-0000-0000CE000000}"/>
    <cellStyle name="Normal 2 10 5" xfId="402" xr:uid="{00000000-0005-0000-0000-0000CF000000}"/>
    <cellStyle name="Normal 2 10 5 2" xfId="533" xr:uid="{00000000-0005-0000-0000-0000D0000000}"/>
    <cellStyle name="Normal 2 10 5 3" xfId="664" xr:uid="{00000000-0005-0000-0000-0000D1000000}"/>
    <cellStyle name="Normal 2 10 5 4" xfId="795" xr:uid="{00000000-0005-0000-0000-0000D2000000}"/>
    <cellStyle name="Normal 2 10 6" xfId="367" xr:uid="{00000000-0005-0000-0000-0000D3000000}"/>
    <cellStyle name="Normal 2 10 7" xfId="498" xr:uid="{00000000-0005-0000-0000-0000D4000000}"/>
    <cellStyle name="Normal 2 10 8" xfId="629" xr:uid="{00000000-0005-0000-0000-0000D5000000}"/>
    <cellStyle name="Normal 2 10 9" xfId="760" xr:uid="{00000000-0005-0000-0000-0000D6000000}"/>
    <cellStyle name="Normal 2 11" xfId="273" xr:uid="{00000000-0005-0000-0000-0000D7000000}"/>
    <cellStyle name="Normal 2 11 2" xfId="306" xr:uid="{00000000-0005-0000-0000-0000D8000000}"/>
    <cellStyle name="Normal 2 11 2 2" xfId="437" xr:uid="{00000000-0005-0000-0000-0000D9000000}"/>
    <cellStyle name="Normal 2 11 2 3" xfId="568" xr:uid="{00000000-0005-0000-0000-0000DA000000}"/>
    <cellStyle name="Normal 2 11 2 4" xfId="699" xr:uid="{00000000-0005-0000-0000-0000DB000000}"/>
    <cellStyle name="Normal 2 11 2 5" xfId="830" xr:uid="{00000000-0005-0000-0000-0000DC000000}"/>
    <cellStyle name="Normal 2 11 3" xfId="338" xr:uid="{00000000-0005-0000-0000-0000DD000000}"/>
    <cellStyle name="Normal 2 11 3 2" xfId="469" xr:uid="{00000000-0005-0000-0000-0000DE000000}"/>
    <cellStyle name="Normal 2 11 3 3" xfId="600" xr:uid="{00000000-0005-0000-0000-0000DF000000}"/>
    <cellStyle name="Normal 2 11 3 4" xfId="731" xr:uid="{00000000-0005-0000-0000-0000E0000000}"/>
    <cellStyle name="Normal 2 11 3 5" xfId="862" xr:uid="{00000000-0005-0000-0000-0000E1000000}"/>
    <cellStyle name="Normal 2 11 4" xfId="405" xr:uid="{00000000-0005-0000-0000-0000E2000000}"/>
    <cellStyle name="Normal 2 11 4 2" xfId="536" xr:uid="{00000000-0005-0000-0000-0000E3000000}"/>
    <cellStyle name="Normal 2 11 4 3" xfId="667" xr:uid="{00000000-0005-0000-0000-0000E4000000}"/>
    <cellStyle name="Normal 2 11 4 4" xfId="798" xr:uid="{00000000-0005-0000-0000-0000E5000000}"/>
    <cellStyle name="Normal 2 11 5" xfId="370" xr:uid="{00000000-0005-0000-0000-0000E6000000}"/>
    <cellStyle name="Normal 2 11 6" xfId="501" xr:uid="{00000000-0005-0000-0000-0000E7000000}"/>
    <cellStyle name="Normal 2 11 7" xfId="632" xr:uid="{00000000-0005-0000-0000-0000E8000000}"/>
    <cellStyle name="Normal 2 11 8" xfId="763" xr:uid="{00000000-0005-0000-0000-0000E9000000}"/>
    <cellStyle name="Normal 2 12" xfId="257" xr:uid="{00000000-0005-0000-0000-0000EA000000}"/>
    <cellStyle name="Normal 2 12 2" xfId="389" xr:uid="{00000000-0005-0000-0000-0000EB000000}"/>
    <cellStyle name="Normal 2 12 3" xfId="520" xr:uid="{00000000-0005-0000-0000-0000EC000000}"/>
    <cellStyle name="Normal 2 12 4" xfId="651" xr:uid="{00000000-0005-0000-0000-0000ED000000}"/>
    <cellStyle name="Normal 2 12 5" xfId="782" xr:uid="{00000000-0005-0000-0000-0000EE000000}"/>
    <cellStyle name="Normal 2 13" xfId="290" xr:uid="{00000000-0005-0000-0000-0000EF000000}"/>
    <cellStyle name="Normal 2 13 2" xfId="421" xr:uid="{00000000-0005-0000-0000-0000F0000000}"/>
    <cellStyle name="Normal 2 13 3" xfId="552" xr:uid="{00000000-0005-0000-0000-0000F1000000}"/>
    <cellStyle name="Normal 2 13 4" xfId="683" xr:uid="{00000000-0005-0000-0000-0000F2000000}"/>
    <cellStyle name="Normal 2 13 5" xfId="814" xr:uid="{00000000-0005-0000-0000-0000F3000000}"/>
    <cellStyle name="Normal 2 14" xfId="322" xr:uid="{00000000-0005-0000-0000-0000F4000000}"/>
    <cellStyle name="Normal 2 14 2" xfId="453" xr:uid="{00000000-0005-0000-0000-0000F5000000}"/>
    <cellStyle name="Normal 2 14 3" xfId="584" xr:uid="{00000000-0005-0000-0000-0000F6000000}"/>
    <cellStyle name="Normal 2 14 4" xfId="715" xr:uid="{00000000-0005-0000-0000-0000F7000000}"/>
    <cellStyle name="Normal 2 14 5" xfId="846" xr:uid="{00000000-0005-0000-0000-0000F8000000}"/>
    <cellStyle name="Normal 2 15" xfId="386" xr:uid="{00000000-0005-0000-0000-0000F9000000}"/>
    <cellStyle name="Normal 2 15 2" xfId="517" xr:uid="{00000000-0005-0000-0000-0000FA000000}"/>
    <cellStyle name="Normal 2 15 3" xfId="648" xr:uid="{00000000-0005-0000-0000-0000FB000000}"/>
    <cellStyle name="Normal 2 15 4" xfId="779" xr:uid="{00000000-0005-0000-0000-0000FC000000}"/>
    <cellStyle name="Normal 2 16" xfId="354" xr:uid="{00000000-0005-0000-0000-0000FD000000}"/>
    <cellStyle name="Normal 2 17" xfId="485" xr:uid="{00000000-0005-0000-0000-0000FE000000}"/>
    <cellStyle name="Normal 2 18" xfId="616" xr:uid="{00000000-0005-0000-0000-0000FF000000}"/>
    <cellStyle name="Normal 2 19" xfId="747" xr:uid="{00000000-0005-0000-0000-000000010000}"/>
    <cellStyle name="Normal 2 2" xfId="33" xr:uid="{00000000-0005-0000-0000-000001010000}"/>
    <cellStyle name="Normal 2 2 2" xfId="2" xr:uid="{00000000-0005-0000-0000-000002010000}"/>
    <cellStyle name="Normal 2 2 3" xfId="188" xr:uid="{00000000-0005-0000-0000-000003010000}"/>
    <cellStyle name="Normal 2 20" xfId="879" xr:uid="{00000000-0005-0000-0000-000004010000}"/>
    <cellStyle name="Normal 2 3" xfId="189" xr:uid="{00000000-0005-0000-0000-000005010000}"/>
    <cellStyle name="Normal 2 3 2" xfId="190" xr:uid="{00000000-0005-0000-0000-000006010000}"/>
    <cellStyle name="Normal 2 3 2 10" xfId="387" xr:uid="{00000000-0005-0000-0000-000007010000}"/>
    <cellStyle name="Normal 2 3 2 10 2" xfId="518" xr:uid="{00000000-0005-0000-0000-000008010000}"/>
    <cellStyle name="Normal 2 3 2 10 3" xfId="649" xr:uid="{00000000-0005-0000-0000-000009010000}"/>
    <cellStyle name="Normal 2 3 2 10 4" xfId="780" xr:uid="{00000000-0005-0000-0000-00000A010000}"/>
    <cellStyle name="Normal 2 3 2 11" xfId="356" xr:uid="{00000000-0005-0000-0000-00000B010000}"/>
    <cellStyle name="Normal 2 3 2 12" xfId="487" xr:uid="{00000000-0005-0000-0000-00000C010000}"/>
    <cellStyle name="Normal 2 3 2 13" xfId="618" xr:uid="{00000000-0005-0000-0000-00000D010000}"/>
    <cellStyle name="Normal 2 3 2 14" xfId="749" xr:uid="{00000000-0005-0000-0000-00000E010000}"/>
    <cellStyle name="Normal 2 3 2 2" xfId="262" xr:uid="{00000000-0005-0000-0000-00000F010000}"/>
    <cellStyle name="Normal 2 3 2 2 2" xfId="278" xr:uid="{00000000-0005-0000-0000-000010010000}"/>
    <cellStyle name="Normal 2 3 2 2 2 2" xfId="311" xr:uid="{00000000-0005-0000-0000-000011010000}"/>
    <cellStyle name="Normal 2 3 2 2 2 2 2" xfId="442" xr:uid="{00000000-0005-0000-0000-000012010000}"/>
    <cellStyle name="Normal 2 3 2 2 2 2 3" xfId="573" xr:uid="{00000000-0005-0000-0000-000013010000}"/>
    <cellStyle name="Normal 2 3 2 2 2 2 4" xfId="704" xr:uid="{00000000-0005-0000-0000-000014010000}"/>
    <cellStyle name="Normal 2 3 2 2 2 2 5" xfId="835" xr:uid="{00000000-0005-0000-0000-000015010000}"/>
    <cellStyle name="Normal 2 3 2 2 2 3" xfId="343" xr:uid="{00000000-0005-0000-0000-000016010000}"/>
    <cellStyle name="Normal 2 3 2 2 2 3 2" xfId="474" xr:uid="{00000000-0005-0000-0000-000017010000}"/>
    <cellStyle name="Normal 2 3 2 2 2 3 3" xfId="605" xr:uid="{00000000-0005-0000-0000-000018010000}"/>
    <cellStyle name="Normal 2 3 2 2 2 3 4" xfId="736" xr:uid="{00000000-0005-0000-0000-000019010000}"/>
    <cellStyle name="Normal 2 3 2 2 2 3 5" xfId="867" xr:uid="{00000000-0005-0000-0000-00001A010000}"/>
    <cellStyle name="Normal 2 3 2 2 2 4" xfId="410" xr:uid="{00000000-0005-0000-0000-00001B010000}"/>
    <cellStyle name="Normal 2 3 2 2 2 4 2" xfId="541" xr:uid="{00000000-0005-0000-0000-00001C010000}"/>
    <cellStyle name="Normal 2 3 2 2 2 4 3" xfId="672" xr:uid="{00000000-0005-0000-0000-00001D010000}"/>
    <cellStyle name="Normal 2 3 2 2 2 4 4" xfId="803" xr:uid="{00000000-0005-0000-0000-00001E010000}"/>
    <cellStyle name="Normal 2 3 2 2 2 5" xfId="375" xr:uid="{00000000-0005-0000-0000-00001F010000}"/>
    <cellStyle name="Normal 2 3 2 2 2 6" xfId="506" xr:uid="{00000000-0005-0000-0000-000020010000}"/>
    <cellStyle name="Normal 2 3 2 2 2 7" xfId="637" xr:uid="{00000000-0005-0000-0000-000021010000}"/>
    <cellStyle name="Normal 2 3 2 2 2 8" xfId="768" xr:uid="{00000000-0005-0000-0000-000022010000}"/>
    <cellStyle name="Normal 2 3 2 2 3" xfId="295" xr:uid="{00000000-0005-0000-0000-000023010000}"/>
    <cellStyle name="Normal 2 3 2 2 3 2" xfId="426" xr:uid="{00000000-0005-0000-0000-000024010000}"/>
    <cellStyle name="Normal 2 3 2 2 3 3" xfId="557" xr:uid="{00000000-0005-0000-0000-000025010000}"/>
    <cellStyle name="Normal 2 3 2 2 3 4" xfId="688" xr:uid="{00000000-0005-0000-0000-000026010000}"/>
    <cellStyle name="Normal 2 3 2 2 3 5" xfId="819" xr:uid="{00000000-0005-0000-0000-000027010000}"/>
    <cellStyle name="Normal 2 3 2 2 4" xfId="327" xr:uid="{00000000-0005-0000-0000-000028010000}"/>
    <cellStyle name="Normal 2 3 2 2 4 2" xfId="458" xr:uid="{00000000-0005-0000-0000-000029010000}"/>
    <cellStyle name="Normal 2 3 2 2 4 3" xfId="589" xr:uid="{00000000-0005-0000-0000-00002A010000}"/>
    <cellStyle name="Normal 2 3 2 2 4 4" xfId="720" xr:uid="{00000000-0005-0000-0000-00002B010000}"/>
    <cellStyle name="Normal 2 3 2 2 4 5" xfId="851" xr:uid="{00000000-0005-0000-0000-00002C010000}"/>
    <cellStyle name="Normal 2 3 2 2 5" xfId="394" xr:uid="{00000000-0005-0000-0000-00002D010000}"/>
    <cellStyle name="Normal 2 3 2 2 5 2" xfId="525" xr:uid="{00000000-0005-0000-0000-00002E010000}"/>
    <cellStyle name="Normal 2 3 2 2 5 3" xfId="656" xr:uid="{00000000-0005-0000-0000-00002F010000}"/>
    <cellStyle name="Normal 2 3 2 2 5 4" xfId="787" xr:uid="{00000000-0005-0000-0000-000030010000}"/>
    <cellStyle name="Normal 2 3 2 2 6" xfId="359" xr:uid="{00000000-0005-0000-0000-000031010000}"/>
    <cellStyle name="Normal 2 3 2 2 7" xfId="490" xr:uid="{00000000-0005-0000-0000-000032010000}"/>
    <cellStyle name="Normal 2 3 2 2 8" xfId="621" xr:uid="{00000000-0005-0000-0000-000033010000}"/>
    <cellStyle name="Normal 2 3 2 2 9" xfId="752" xr:uid="{00000000-0005-0000-0000-000034010000}"/>
    <cellStyle name="Normal 2 3 2 3" xfId="265" xr:uid="{00000000-0005-0000-0000-000035010000}"/>
    <cellStyle name="Normal 2 3 2 3 2" xfId="281" xr:uid="{00000000-0005-0000-0000-000036010000}"/>
    <cellStyle name="Normal 2 3 2 3 2 2" xfId="314" xr:uid="{00000000-0005-0000-0000-000037010000}"/>
    <cellStyle name="Normal 2 3 2 3 2 2 2" xfId="445" xr:uid="{00000000-0005-0000-0000-000038010000}"/>
    <cellStyle name="Normal 2 3 2 3 2 2 3" xfId="576" xr:uid="{00000000-0005-0000-0000-000039010000}"/>
    <cellStyle name="Normal 2 3 2 3 2 2 4" xfId="707" xr:uid="{00000000-0005-0000-0000-00003A010000}"/>
    <cellStyle name="Normal 2 3 2 3 2 2 5" xfId="838" xr:uid="{00000000-0005-0000-0000-00003B010000}"/>
    <cellStyle name="Normal 2 3 2 3 2 3" xfId="346" xr:uid="{00000000-0005-0000-0000-00003C010000}"/>
    <cellStyle name="Normal 2 3 2 3 2 3 2" xfId="477" xr:uid="{00000000-0005-0000-0000-00003D010000}"/>
    <cellStyle name="Normal 2 3 2 3 2 3 3" xfId="608" xr:uid="{00000000-0005-0000-0000-00003E010000}"/>
    <cellStyle name="Normal 2 3 2 3 2 3 4" xfId="739" xr:uid="{00000000-0005-0000-0000-00003F010000}"/>
    <cellStyle name="Normal 2 3 2 3 2 3 5" xfId="870" xr:uid="{00000000-0005-0000-0000-000040010000}"/>
    <cellStyle name="Normal 2 3 2 3 2 4" xfId="413" xr:uid="{00000000-0005-0000-0000-000041010000}"/>
    <cellStyle name="Normal 2 3 2 3 2 4 2" xfId="544" xr:uid="{00000000-0005-0000-0000-000042010000}"/>
    <cellStyle name="Normal 2 3 2 3 2 4 3" xfId="675" xr:uid="{00000000-0005-0000-0000-000043010000}"/>
    <cellStyle name="Normal 2 3 2 3 2 4 4" xfId="806" xr:uid="{00000000-0005-0000-0000-000044010000}"/>
    <cellStyle name="Normal 2 3 2 3 2 5" xfId="378" xr:uid="{00000000-0005-0000-0000-000045010000}"/>
    <cellStyle name="Normal 2 3 2 3 2 6" xfId="509" xr:uid="{00000000-0005-0000-0000-000046010000}"/>
    <cellStyle name="Normal 2 3 2 3 2 7" xfId="640" xr:uid="{00000000-0005-0000-0000-000047010000}"/>
    <cellStyle name="Normal 2 3 2 3 2 8" xfId="771" xr:uid="{00000000-0005-0000-0000-000048010000}"/>
    <cellStyle name="Normal 2 3 2 3 3" xfId="298" xr:uid="{00000000-0005-0000-0000-000049010000}"/>
    <cellStyle name="Normal 2 3 2 3 3 2" xfId="429" xr:uid="{00000000-0005-0000-0000-00004A010000}"/>
    <cellStyle name="Normal 2 3 2 3 3 3" xfId="560" xr:uid="{00000000-0005-0000-0000-00004B010000}"/>
    <cellStyle name="Normal 2 3 2 3 3 4" xfId="691" xr:uid="{00000000-0005-0000-0000-00004C010000}"/>
    <cellStyle name="Normal 2 3 2 3 3 5" xfId="822" xr:uid="{00000000-0005-0000-0000-00004D010000}"/>
    <cellStyle name="Normal 2 3 2 3 4" xfId="330" xr:uid="{00000000-0005-0000-0000-00004E010000}"/>
    <cellStyle name="Normal 2 3 2 3 4 2" xfId="461" xr:uid="{00000000-0005-0000-0000-00004F010000}"/>
    <cellStyle name="Normal 2 3 2 3 4 3" xfId="592" xr:uid="{00000000-0005-0000-0000-000050010000}"/>
    <cellStyle name="Normal 2 3 2 3 4 4" xfId="723" xr:uid="{00000000-0005-0000-0000-000051010000}"/>
    <cellStyle name="Normal 2 3 2 3 4 5" xfId="854" xr:uid="{00000000-0005-0000-0000-000052010000}"/>
    <cellStyle name="Normal 2 3 2 3 5" xfId="397" xr:uid="{00000000-0005-0000-0000-000053010000}"/>
    <cellStyle name="Normal 2 3 2 3 5 2" xfId="528" xr:uid="{00000000-0005-0000-0000-000054010000}"/>
    <cellStyle name="Normal 2 3 2 3 5 3" xfId="659" xr:uid="{00000000-0005-0000-0000-000055010000}"/>
    <cellStyle name="Normal 2 3 2 3 5 4" xfId="790" xr:uid="{00000000-0005-0000-0000-000056010000}"/>
    <cellStyle name="Normal 2 3 2 3 6" xfId="362" xr:uid="{00000000-0005-0000-0000-000057010000}"/>
    <cellStyle name="Normal 2 3 2 3 7" xfId="493" xr:uid="{00000000-0005-0000-0000-000058010000}"/>
    <cellStyle name="Normal 2 3 2 3 8" xfId="624" xr:uid="{00000000-0005-0000-0000-000059010000}"/>
    <cellStyle name="Normal 2 3 2 3 9" xfId="755" xr:uid="{00000000-0005-0000-0000-00005A010000}"/>
    <cellStyle name="Normal 2 3 2 4" xfId="268" xr:uid="{00000000-0005-0000-0000-00005B010000}"/>
    <cellStyle name="Normal 2 3 2 4 2" xfId="284" xr:uid="{00000000-0005-0000-0000-00005C010000}"/>
    <cellStyle name="Normal 2 3 2 4 2 2" xfId="317" xr:uid="{00000000-0005-0000-0000-00005D010000}"/>
    <cellStyle name="Normal 2 3 2 4 2 2 2" xfId="448" xr:uid="{00000000-0005-0000-0000-00005E010000}"/>
    <cellStyle name="Normal 2 3 2 4 2 2 3" xfId="579" xr:uid="{00000000-0005-0000-0000-00005F010000}"/>
    <cellStyle name="Normal 2 3 2 4 2 2 4" xfId="710" xr:uid="{00000000-0005-0000-0000-000060010000}"/>
    <cellStyle name="Normal 2 3 2 4 2 2 5" xfId="841" xr:uid="{00000000-0005-0000-0000-000061010000}"/>
    <cellStyle name="Normal 2 3 2 4 2 3" xfId="349" xr:uid="{00000000-0005-0000-0000-000062010000}"/>
    <cellStyle name="Normal 2 3 2 4 2 3 2" xfId="480" xr:uid="{00000000-0005-0000-0000-000063010000}"/>
    <cellStyle name="Normal 2 3 2 4 2 3 3" xfId="611" xr:uid="{00000000-0005-0000-0000-000064010000}"/>
    <cellStyle name="Normal 2 3 2 4 2 3 4" xfId="742" xr:uid="{00000000-0005-0000-0000-000065010000}"/>
    <cellStyle name="Normal 2 3 2 4 2 3 5" xfId="873" xr:uid="{00000000-0005-0000-0000-000066010000}"/>
    <cellStyle name="Normal 2 3 2 4 2 4" xfId="416" xr:uid="{00000000-0005-0000-0000-000067010000}"/>
    <cellStyle name="Normal 2 3 2 4 2 4 2" xfId="547" xr:uid="{00000000-0005-0000-0000-000068010000}"/>
    <cellStyle name="Normal 2 3 2 4 2 4 3" xfId="678" xr:uid="{00000000-0005-0000-0000-000069010000}"/>
    <cellStyle name="Normal 2 3 2 4 2 4 4" xfId="809" xr:uid="{00000000-0005-0000-0000-00006A010000}"/>
    <cellStyle name="Normal 2 3 2 4 2 5" xfId="381" xr:uid="{00000000-0005-0000-0000-00006B010000}"/>
    <cellStyle name="Normal 2 3 2 4 2 6" xfId="512" xr:uid="{00000000-0005-0000-0000-00006C010000}"/>
    <cellStyle name="Normal 2 3 2 4 2 7" xfId="643" xr:uid="{00000000-0005-0000-0000-00006D010000}"/>
    <cellStyle name="Normal 2 3 2 4 2 8" xfId="774" xr:uid="{00000000-0005-0000-0000-00006E010000}"/>
    <cellStyle name="Normal 2 3 2 4 3" xfId="301" xr:uid="{00000000-0005-0000-0000-00006F010000}"/>
    <cellStyle name="Normal 2 3 2 4 3 2" xfId="432" xr:uid="{00000000-0005-0000-0000-000070010000}"/>
    <cellStyle name="Normal 2 3 2 4 3 3" xfId="563" xr:uid="{00000000-0005-0000-0000-000071010000}"/>
    <cellStyle name="Normal 2 3 2 4 3 4" xfId="694" xr:uid="{00000000-0005-0000-0000-000072010000}"/>
    <cellStyle name="Normal 2 3 2 4 3 5" xfId="825" xr:uid="{00000000-0005-0000-0000-000073010000}"/>
    <cellStyle name="Normal 2 3 2 4 4" xfId="333" xr:uid="{00000000-0005-0000-0000-000074010000}"/>
    <cellStyle name="Normal 2 3 2 4 4 2" xfId="464" xr:uid="{00000000-0005-0000-0000-000075010000}"/>
    <cellStyle name="Normal 2 3 2 4 4 3" xfId="595" xr:uid="{00000000-0005-0000-0000-000076010000}"/>
    <cellStyle name="Normal 2 3 2 4 4 4" xfId="726" xr:uid="{00000000-0005-0000-0000-000077010000}"/>
    <cellStyle name="Normal 2 3 2 4 4 5" xfId="857" xr:uid="{00000000-0005-0000-0000-000078010000}"/>
    <cellStyle name="Normal 2 3 2 4 5" xfId="400" xr:uid="{00000000-0005-0000-0000-000079010000}"/>
    <cellStyle name="Normal 2 3 2 4 5 2" xfId="531" xr:uid="{00000000-0005-0000-0000-00007A010000}"/>
    <cellStyle name="Normal 2 3 2 4 5 3" xfId="662" xr:uid="{00000000-0005-0000-0000-00007B010000}"/>
    <cellStyle name="Normal 2 3 2 4 5 4" xfId="793" xr:uid="{00000000-0005-0000-0000-00007C010000}"/>
    <cellStyle name="Normal 2 3 2 4 6" xfId="365" xr:uid="{00000000-0005-0000-0000-00007D010000}"/>
    <cellStyle name="Normal 2 3 2 4 7" xfId="496" xr:uid="{00000000-0005-0000-0000-00007E010000}"/>
    <cellStyle name="Normal 2 3 2 4 8" xfId="627" xr:uid="{00000000-0005-0000-0000-00007F010000}"/>
    <cellStyle name="Normal 2 3 2 4 9" xfId="758" xr:uid="{00000000-0005-0000-0000-000080010000}"/>
    <cellStyle name="Normal 2 3 2 5" xfId="271" xr:uid="{00000000-0005-0000-0000-000081010000}"/>
    <cellStyle name="Normal 2 3 2 5 2" xfId="287" xr:uid="{00000000-0005-0000-0000-000082010000}"/>
    <cellStyle name="Normal 2 3 2 5 2 2" xfId="320" xr:uid="{00000000-0005-0000-0000-000083010000}"/>
    <cellStyle name="Normal 2 3 2 5 2 2 2" xfId="451" xr:uid="{00000000-0005-0000-0000-000084010000}"/>
    <cellStyle name="Normal 2 3 2 5 2 2 3" xfId="582" xr:uid="{00000000-0005-0000-0000-000085010000}"/>
    <cellStyle name="Normal 2 3 2 5 2 2 4" xfId="713" xr:uid="{00000000-0005-0000-0000-000086010000}"/>
    <cellStyle name="Normal 2 3 2 5 2 2 5" xfId="844" xr:uid="{00000000-0005-0000-0000-000087010000}"/>
    <cellStyle name="Normal 2 3 2 5 2 3" xfId="352" xr:uid="{00000000-0005-0000-0000-000088010000}"/>
    <cellStyle name="Normal 2 3 2 5 2 3 2" xfId="483" xr:uid="{00000000-0005-0000-0000-000089010000}"/>
    <cellStyle name="Normal 2 3 2 5 2 3 3" xfId="614" xr:uid="{00000000-0005-0000-0000-00008A010000}"/>
    <cellStyle name="Normal 2 3 2 5 2 3 4" xfId="745" xr:uid="{00000000-0005-0000-0000-00008B010000}"/>
    <cellStyle name="Normal 2 3 2 5 2 3 5" xfId="876" xr:uid="{00000000-0005-0000-0000-00008C010000}"/>
    <cellStyle name="Normal 2 3 2 5 2 4" xfId="419" xr:uid="{00000000-0005-0000-0000-00008D010000}"/>
    <cellStyle name="Normal 2 3 2 5 2 4 2" xfId="550" xr:uid="{00000000-0005-0000-0000-00008E010000}"/>
    <cellStyle name="Normal 2 3 2 5 2 4 3" xfId="681" xr:uid="{00000000-0005-0000-0000-00008F010000}"/>
    <cellStyle name="Normal 2 3 2 5 2 4 4" xfId="812" xr:uid="{00000000-0005-0000-0000-000090010000}"/>
    <cellStyle name="Normal 2 3 2 5 2 5" xfId="384" xr:uid="{00000000-0005-0000-0000-000091010000}"/>
    <cellStyle name="Normal 2 3 2 5 2 6" xfId="515" xr:uid="{00000000-0005-0000-0000-000092010000}"/>
    <cellStyle name="Normal 2 3 2 5 2 7" xfId="646" xr:uid="{00000000-0005-0000-0000-000093010000}"/>
    <cellStyle name="Normal 2 3 2 5 2 8" xfId="777" xr:uid="{00000000-0005-0000-0000-000094010000}"/>
    <cellStyle name="Normal 2 3 2 5 3" xfId="304" xr:uid="{00000000-0005-0000-0000-000095010000}"/>
    <cellStyle name="Normal 2 3 2 5 3 2" xfId="435" xr:uid="{00000000-0005-0000-0000-000096010000}"/>
    <cellStyle name="Normal 2 3 2 5 3 3" xfId="566" xr:uid="{00000000-0005-0000-0000-000097010000}"/>
    <cellStyle name="Normal 2 3 2 5 3 4" xfId="697" xr:uid="{00000000-0005-0000-0000-000098010000}"/>
    <cellStyle name="Normal 2 3 2 5 3 5" xfId="828" xr:uid="{00000000-0005-0000-0000-000099010000}"/>
    <cellStyle name="Normal 2 3 2 5 4" xfId="336" xr:uid="{00000000-0005-0000-0000-00009A010000}"/>
    <cellStyle name="Normal 2 3 2 5 4 2" xfId="467" xr:uid="{00000000-0005-0000-0000-00009B010000}"/>
    <cellStyle name="Normal 2 3 2 5 4 3" xfId="598" xr:uid="{00000000-0005-0000-0000-00009C010000}"/>
    <cellStyle name="Normal 2 3 2 5 4 4" xfId="729" xr:uid="{00000000-0005-0000-0000-00009D010000}"/>
    <cellStyle name="Normal 2 3 2 5 4 5" xfId="860" xr:uid="{00000000-0005-0000-0000-00009E010000}"/>
    <cellStyle name="Normal 2 3 2 5 5" xfId="403" xr:uid="{00000000-0005-0000-0000-00009F010000}"/>
    <cellStyle name="Normal 2 3 2 5 5 2" xfId="534" xr:uid="{00000000-0005-0000-0000-0000A0010000}"/>
    <cellStyle name="Normal 2 3 2 5 5 3" xfId="665" xr:uid="{00000000-0005-0000-0000-0000A1010000}"/>
    <cellStyle name="Normal 2 3 2 5 5 4" xfId="796" xr:uid="{00000000-0005-0000-0000-0000A2010000}"/>
    <cellStyle name="Normal 2 3 2 5 6" xfId="368" xr:uid="{00000000-0005-0000-0000-0000A3010000}"/>
    <cellStyle name="Normal 2 3 2 5 7" xfId="499" xr:uid="{00000000-0005-0000-0000-0000A4010000}"/>
    <cellStyle name="Normal 2 3 2 5 8" xfId="630" xr:uid="{00000000-0005-0000-0000-0000A5010000}"/>
    <cellStyle name="Normal 2 3 2 5 9" xfId="761" xr:uid="{00000000-0005-0000-0000-0000A6010000}"/>
    <cellStyle name="Normal 2 3 2 6" xfId="275" xr:uid="{00000000-0005-0000-0000-0000A7010000}"/>
    <cellStyle name="Normal 2 3 2 6 2" xfId="308" xr:uid="{00000000-0005-0000-0000-0000A8010000}"/>
    <cellStyle name="Normal 2 3 2 6 2 2" xfId="439" xr:uid="{00000000-0005-0000-0000-0000A9010000}"/>
    <cellStyle name="Normal 2 3 2 6 2 3" xfId="570" xr:uid="{00000000-0005-0000-0000-0000AA010000}"/>
    <cellStyle name="Normal 2 3 2 6 2 4" xfId="701" xr:uid="{00000000-0005-0000-0000-0000AB010000}"/>
    <cellStyle name="Normal 2 3 2 6 2 5" xfId="832" xr:uid="{00000000-0005-0000-0000-0000AC010000}"/>
    <cellStyle name="Normal 2 3 2 6 3" xfId="340" xr:uid="{00000000-0005-0000-0000-0000AD010000}"/>
    <cellStyle name="Normal 2 3 2 6 3 2" xfId="471" xr:uid="{00000000-0005-0000-0000-0000AE010000}"/>
    <cellStyle name="Normal 2 3 2 6 3 3" xfId="602" xr:uid="{00000000-0005-0000-0000-0000AF010000}"/>
    <cellStyle name="Normal 2 3 2 6 3 4" xfId="733" xr:uid="{00000000-0005-0000-0000-0000B0010000}"/>
    <cellStyle name="Normal 2 3 2 6 3 5" xfId="864" xr:uid="{00000000-0005-0000-0000-0000B1010000}"/>
    <cellStyle name="Normal 2 3 2 6 4" xfId="407" xr:uid="{00000000-0005-0000-0000-0000B2010000}"/>
    <cellStyle name="Normal 2 3 2 6 4 2" xfId="538" xr:uid="{00000000-0005-0000-0000-0000B3010000}"/>
    <cellStyle name="Normal 2 3 2 6 4 3" xfId="669" xr:uid="{00000000-0005-0000-0000-0000B4010000}"/>
    <cellStyle name="Normal 2 3 2 6 4 4" xfId="800" xr:uid="{00000000-0005-0000-0000-0000B5010000}"/>
    <cellStyle name="Normal 2 3 2 6 5" xfId="372" xr:uid="{00000000-0005-0000-0000-0000B6010000}"/>
    <cellStyle name="Normal 2 3 2 6 6" xfId="503" xr:uid="{00000000-0005-0000-0000-0000B7010000}"/>
    <cellStyle name="Normal 2 3 2 6 7" xfId="634" xr:uid="{00000000-0005-0000-0000-0000B8010000}"/>
    <cellStyle name="Normal 2 3 2 6 8" xfId="765" xr:uid="{00000000-0005-0000-0000-0000B9010000}"/>
    <cellStyle name="Normal 2 3 2 7" xfId="259" xr:uid="{00000000-0005-0000-0000-0000BA010000}"/>
    <cellStyle name="Normal 2 3 2 7 2" xfId="391" xr:uid="{00000000-0005-0000-0000-0000BB010000}"/>
    <cellStyle name="Normal 2 3 2 7 3" xfId="522" xr:uid="{00000000-0005-0000-0000-0000BC010000}"/>
    <cellStyle name="Normal 2 3 2 7 4" xfId="653" xr:uid="{00000000-0005-0000-0000-0000BD010000}"/>
    <cellStyle name="Normal 2 3 2 7 5" xfId="784" xr:uid="{00000000-0005-0000-0000-0000BE010000}"/>
    <cellStyle name="Normal 2 3 2 8" xfId="292" xr:uid="{00000000-0005-0000-0000-0000BF010000}"/>
    <cellStyle name="Normal 2 3 2 8 2" xfId="423" xr:uid="{00000000-0005-0000-0000-0000C0010000}"/>
    <cellStyle name="Normal 2 3 2 8 3" xfId="554" xr:uid="{00000000-0005-0000-0000-0000C1010000}"/>
    <cellStyle name="Normal 2 3 2 8 4" xfId="685" xr:uid="{00000000-0005-0000-0000-0000C2010000}"/>
    <cellStyle name="Normal 2 3 2 8 5" xfId="816" xr:uid="{00000000-0005-0000-0000-0000C3010000}"/>
    <cellStyle name="Normal 2 3 2 9" xfId="324" xr:uid="{00000000-0005-0000-0000-0000C4010000}"/>
    <cellStyle name="Normal 2 3 2 9 2" xfId="455" xr:uid="{00000000-0005-0000-0000-0000C5010000}"/>
    <cellStyle name="Normal 2 3 2 9 3" xfId="586" xr:uid="{00000000-0005-0000-0000-0000C6010000}"/>
    <cellStyle name="Normal 2 3 2 9 4" xfId="717" xr:uid="{00000000-0005-0000-0000-0000C7010000}"/>
    <cellStyle name="Normal 2 3 2 9 5" xfId="848" xr:uid="{00000000-0005-0000-0000-0000C8010000}"/>
    <cellStyle name="Normal 2 4" xfId="191" xr:uid="{00000000-0005-0000-0000-0000C9010000}"/>
    <cellStyle name="Normal 2 4 10" xfId="388" xr:uid="{00000000-0005-0000-0000-0000CA010000}"/>
    <cellStyle name="Normal 2 4 10 2" xfId="519" xr:uid="{00000000-0005-0000-0000-0000CB010000}"/>
    <cellStyle name="Normal 2 4 10 3" xfId="650" xr:uid="{00000000-0005-0000-0000-0000CC010000}"/>
    <cellStyle name="Normal 2 4 10 4" xfId="781" xr:uid="{00000000-0005-0000-0000-0000CD010000}"/>
    <cellStyle name="Normal 2 4 11" xfId="357" xr:uid="{00000000-0005-0000-0000-0000CE010000}"/>
    <cellStyle name="Normal 2 4 12" xfId="488" xr:uid="{00000000-0005-0000-0000-0000CF010000}"/>
    <cellStyle name="Normal 2 4 13" xfId="619" xr:uid="{00000000-0005-0000-0000-0000D0010000}"/>
    <cellStyle name="Normal 2 4 14" xfId="750" xr:uid="{00000000-0005-0000-0000-0000D1010000}"/>
    <cellStyle name="Normal 2 4 2" xfId="263" xr:uid="{00000000-0005-0000-0000-0000D2010000}"/>
    <cellStyle name="Normal 2 4 2 2" xfId="279" xr:uid="{00000000-0005-0000-0000-0000D3010000}"/>
    <cellStyle name="Normal 2 4 2 2 2" xfId="312" xr:uid="{00000000-0005-0000-0000-0000D4010000}"/>
    <cellStyle name="Normal 2 4 2 2 2 2" xfId="443" xr:uid="{00000000-0005-0000-0000-0000D5010000}"/>
    <cellStyle name="Normal 2 4 2 2 2 3" xfId="574" xr:uid="{00000000-0005-0000-0000-0000D6010000}"/>
    <cellStyle name="Normal 2 4 2 2 2 4" xfId="705" xr:uid="{00000000-0005-0000-0000-0000D7010000}"/>
    <cellStyle name="Normal 2 4 2 2 2 5" xfId="836" xr:uid="{00000000-0005-0000-0000-0000D8010000}"/>
    <cellStyle name="Normal 2 4 2 2 3" xfId="344" xr:uid="{00000000-0005-0000-0000-0000D9010000}"/>
    <cellStyle name="Normal 2 4 2 2 3 2" xfId="475" xr:uid="{00000000-0005-0000-0000-0000DA010000}"/>
    <cellStyle name="Normal 2 4 2 2 3 3" xfId="606" xr:uid="{00000000-0005-0000-0000-0000DB010000}"/>
    <cellStyle name="Normal 2 4 2 2 3 4" xfId="737" xr:uid="{00000000-0005-0000-0000-0000DC010000}"/>
    <cellStyle name="Normal 2 4 2 2 3 5" xfId="868" xr:uid="{00000000-0005-0000-0000-0000DD010000}"/>
    <cellStyle name="Normal 2 4 2 2 4" xfId="411" xr:uid="{00000000-0005-0000-0000-0000DE010000}"/>
    <cellStyle name="Normal 2 4 2 2 4 2" xfId="542" xr:uid="{00000000-0005-0000-0000-0000DF010000}"/>
    <cellStyle name="Normal 2 4 2 2 4 3" xfId="673" xr:uid="{00000000-0005-0000-0000-0000E0010000}"/>
    <cellStyle name="Normal 2 4 2 2 4 4" xfId="804" xr:uid="{00000000-0005-0000-0000-0000E1010000}"/>
    <cellStyle name="Normal 2 4 2 2 5" xfId="376" xr:uid="{00000000-0005-0000-0000-0000E2010000}"/>
    <cellStyle name="Normal 2 4 2 2 6" xfId="507" xr:uid="{00000000-0005-0000-0000-0000E3010000}"/>
    <cellStyle name="Normal 2 4 2 2 7" xfId="638" xr:uid="{00000000-0005-0000-0000-0000E4010000}"/>
    <cellStyle name="Normal 2 4 2 2 8" xfId="769" xr:uid="{00000000-0005-0000-0000-0000E5010000}"/>
    <cellStyle name="Normal 2 4 2 3" xfId="296" xr:uid="{00000000-0005-0000-0000-0000E6010000}"/>
    <cellStyle name="Normal 2 4 2 3 2" xfId="427" xr:uid="{00000000-0005-0000-0000-0000E7010000}"/>
    <cellStyle name="Normal 2 4 2 3 3" xfId="558" xr:uid="{00000000-0005-0000-0000-0000E8010000}"/>
    <cellStyle name="Normal 2 4 2 3 4" xfId="689" xr:uid="{00000000-0005-0000-0000-0000E9010000}"/>
    <cellStyle name="Normal 2 4 2 3 5" xfId="820" xr:uid="{00000000-0005-0000-0000-0000EA010000}"/>
    <cellStyle name="Normal 2 4 2 4" xfId="328" xr:uid="{00000000-0005-0000-0000-0000EB010000}"/>
    <cellStyle name="Normal 2 4 2 4 2" xfId="459" xr:uid="{00000000-0005-0000-0000-0000EC010000}"/>
    <cellStyle name="Normal 2 4 2 4 3" xfId="590" xr:uid="{00000000-0005-0000-0000-0000ED010000}"/>
    <cellStyle name="Normal 2 4 2 4 4" xfId="721" xr:uid="{00000000-0005-0000-0000-0000EE010000}"/>
    <cellStyle name="Normal 2 4 2 4 5" xfId="852" xr:uid="{00000000-0005-0000-0000-0000EF010000}"/>
    <cellStyle name="Normal 2 4 2 5" xfId="395" xr:uid="{00000000-0005-0000-0000-0000F0010000}"/>
    <cellStyle name="Normal 2 4 2 5 2" xfId="526" xr:uid="{00000000-0005-0000-0000-0000F1010000}"/>
    <cellStyle name="Normal 2 4 2 5 3" xfId="657" xr:uid="{00000000-0005-0000-0000-0000F2010000}"/>
    <cellStyle name="Normal 2 4 2 5 4" xfId="788" xr:uid="{00000000-0005-0000-0000-0000F3010000}"/>
    <cellStyle name="Normal 2 4 2 6" xfId="360" xr:uid="{00000000-0005-0000-0000-0000F4010000}"/>
    <cellStyle name="Normal 2 4 2 7" xfId="491" xr:uid="{00000000-0005-0000-0000-0000F5010000}"/>
    <cellStyle name="Normal 2 4 2 8" xfId="622" xr:uid="{00000000-0005-0000-0000-0000F6010000}"/>
    <cellStyle name="Normal 2 4 2 9" xfId="753" xr:uid="{00000000-0005-0000-0000-0000F7010000}"/>
    <cellStyle name="Normal 2 4 3" xfId="266" xr:uid="{00000000-0005-0000-0000-0000F8010000}"/>
    <cellStyle name="Normal 2 4 3 2" xfId="282" xr:uid="{00000000-0005-0000-0000-0000F9010000}"/>
    <cellStyle name="Normal 2 4 3 2 2" xfId="315" xr:uid="{00000000-0005-0000-0000-0000FA010000}"/>
    <cellStyle name="Normal 2 4 3 2 2 2" xfId="446" xr:uid="{00000000-0005-0000-0000-0000FB010000}"/>
    <cellStyle name="Normal 2 4 3 2 2 3" xfId="577" xr:uid="{00000000-0005-0000-0000-0000FC010000}"/>
    <cellStyle name="Normal 2 4 3 2 2 4" xfId="708" xr:uid="{00000000-0005-0000-0000-0000FD010000}"/>
    <cellStyle name="Normal 2 4 3 2 2 5" xfId="839" xr:uid="{00000000-0005-0000-0000-0000FE010000}"/>
    <cellStyle name="Normal 2 4 3 2 3" xfId="347" xr:uid="{00000000-0005-0000-0000-0000FF010000}"/>
    <cellStyle name="Normal 2 4 3 2 3 2" xfId="478" xr:uid="{00000000-0005-0000-0000-000000020000}"/>
    <cellStyle name="Normal 2 4 3 2 3 3" xfId="609" xr:uid="{00000000-0005-0000-0000-000001020000}"/>
    <cellStyle name="Normal 2 4 3 2 3 4" xfId="740" xr:uid="{00000000-0005-0000-0000-000002020000}"/>
    <cellStyle name="Normal 2 4 3 2 3 5" xfId="871" xr:uid="{00000000-0005-0000-0000-000003020000}"/>
    <cellStyle name="Normal 2 4 3 2 4" xfId="414" xr:uid="{00000000-0005-0000-0000-000004020000}"/>
    <cellStyle name="Normal 2 4 3 2 4 2" xfId="545" xr:uid="{00000000-0005-0000-0000-000005020000}"/>
    <cellStyle name="Normal 2 4 3 2 4 3" xfId="676" xr:uid="{00000000-0005-0000-0000-000006020000}"/>
    <cellStyle name="Normal 2 4 3 2 4 4" xfId="807" xr:uid="{00000000-0005-0000-0000-000007020000}"/>
    <cellStyle name="Normal 2 4 3 2 5" xfId="379" xr:uid="{00000000-0005-0000-0000-000008020000}"/>
    <cellStyle name="Normal 2 4 3 2 6" xfId="510" xr:uid="{00000000-0005-0000-0000-000009020000}"/>
    <cellStyle name="Normal 2 4 3 2 7" xfId="641" xr:uid="{00000000-0005-0000-0000-00000A020000}"/>
    <cellStyle name="Normal 2 4 3 2 8" xfId="772" xr:uid="{00000000-0005-0000-0000-00000B020000}"/>
    <cellStyle name="Normal 2 4 3 3" xfId="299" xr:uid="{00000000-0005-0000-0000-00000C020000}"/>
    <cellStyle name="Normal 2 4 3 3 2" xfId="430" xr:uid="{00000000-0005-0000-0000-00000D020000}"/>
    <cellStyle name="Normal 2 4 3 3 3" xfId="561" xr:uid="{00000000-0005-0000-0000-00000E020000}"/>
    <cellStyle name="Normal 2 4 3 3 4" xfId="692" xr:uid="{00000000-0005-0000-0000-00000F020000}"/>
    <cellStyle name="Normal 2 4 3 3 5" xfId="823" xr:uid="{00000000-0005-0000-0000-000010020000}"/>
    <cellStyle name="Normal 2 4 3 4" xfId="331" xr:uid="{00000000-0005-0000-0000-000011020000}"/>
    <cellStyle name="Normal 2 4 3 4 2" xfId="462" xr:uid="{00000000-0005-0000-0000-000012020000}"/>
    <cellStyle name="Normal 2 4 3 4 3" xfId="593" xr:uid="{00000000-0005-0000-0000-000013020000}"/>
    <cellStyle name="Normal 2 4 3 4 4" xfId="724" xr:uid="{00000000-0005-0000-0000-000014020000}"/>
    <cellStyle name="Normal 2 4 3 4 5" xfId="855" xr:uid="{00000000-0005-0000-0000-000015020000}"/>
    <cellStyle name="Normal 2 4 3 5" xfId="398" xr:uid="{00000000-0005-0000-0000-000016020000}"/>
    <cellStyle name="Normal 2 4 3 5 2" xfId="529" xr:uid="{00000000-0005-0000-0000-000017020000}"/>
    <cellStyle name="Normal 2 4 3 5 3" xfId="660" xr:uid="{00000000-0005-0000-0000-000018020000}"/>
    <cellStyle name="Normal 2 4 3 5 4" xfId="791" xr:uid="{00000000-0005-0000-0000-000019020000}"/>
    <cellStyle name="Normal 2 4 3 6" xfId="363" xr:uid="{00000000-0005-0000-0000-00001A020000}"/>
    <cellStyle name="Normal 2 4 3 7" xfId="494" xr:uid="{00000000-0005-0000-0000-00001B020000}"/>
    <cellStyle name="Normal 2 4 3 8" xfId="625" xr:uid="{00000000-0005-0000-0000-00001C020000}"/>
    <cellStyle name="Normal 2 4 3 9" xfId="756" xr:uid="{00000000-0005-0000-0000-00001D020000}"/>
    <cellStyle name="Normal 2 4 4" xfId="269" xr:uid="{00000000-0005-0000-0000-00001E020000}"/>
    <cellStyle name="Normal 2 4 4 2" xfId="285" xr:uid="{00000000-0005-0000-0000-00001F020000}"/>
    <cellStyle name="Normal 2 4 4 2 2" xfId="318" xr:uid="{00000000-0005-0000-0000-000020020000}"/>
    <cellStyle name="Normal 2 4 4 2 2 2" xfId="449" xr:uid="{00000000-0005-0000-0000-000021020000}"/>
    <cellStyle name="Normal 2 4 4 2 2 3" xfId="580" xr:uid="{00000000-0005-0000-0000-000022020000}"/>
    <cellStyle name="Normal 2 4 4 2 2 4" xfId="711" xr:uid="{00000000-0005-0000-0000-000023020000}"/>
    <cellStyle name="Normal 2 4 4 2 2 5" xfId="842" xr:uid="{00000000-0005-0000-0000-000024020000}"/>
    <cellStyle name="Normal 2 4 4 2 3" xfId="350" xr:uid="{00000000-0005-0000-0000-000025020000}"/>
    <cellStyle name="Normal 2 4 4 2 3 2" xfId="481" xr:uid="{00000000-0005-0000-0000-000026020000}"/>
    <cellStyle name="Normal 2 4 4 2 3 3" xfId="612" xr:uid="{00000000-0005-0000-0000-000027020000}"/>
    <cellStyle name="Normal 2 4 4 2 3 4" xfId="743" xr:uid="{00000000-0005-0000-0000-000028020000}"/>
    <cellStyle name="Normal 2 4 4 2 3 5" xfId="874" xr:uid="{00000000-0005-0000-0000-000029020000}"/>
    <cellStyle name="Normal 2 4 4 2 4" xfId="417" xr:uid="{00000000-0005-0000-0000-00002A020000}"/>
    <cellStyle name="Normal 2 4 4 2 4 2" xfId="548" xr:uid="{00000000-0005-0000-0000-00002B020000}"/>
    <cellStyle name="Normal 2 4 4 2 4 3" xfId="679" xr:uid="{00000000-0005-0000-0000-00002C020000}"/>
    <cellStyle name="Normal 2 4 4 2 4 4" xfId="810" xr:uid="{00000000-0005-0000-0000-00002D020000}"/>
    <cellStyle name="Normal 2 4 4 2 5" xfId="382" xr:uid="{00000000-0005-0000-0000-00002E020000}"/>
    <cellStyle name="Normal 2 4 4 2 6" xfId="513" xr:uid="{00000000-0005-0000-0000-00002F020000}"/>
    <cellStyle name="Normal 2 4 4 2 7" xfId="644" xr:uid="{00000000-0005-0000-0000-000030020000}"/>
    <cellStyle name="Normal 2 4 4 2 8" xfId="775" xr:uid="{00000000-0005-0000-0000-000031020000}"/>
    <cellStyle name="Normal 2 4 4 3" xfId="302" xr:uid="{00000000-0005-0000-0000-000032020000}"/>
    <cellStyle name="Normal 2 4 4 3 2" xfId="433" xr:uid="{00000000-0005-0000-0000-000033020000}"/>
    <cellStyle name="Normal 2 4 4 3 3" xfId="564" xr:uid="{00000000-0005-0000-0000-000034020000}"/>
    <cellStyle name="Normal 2 4 4 3 4" xfId="695" xr:uid="{00000000-0005-0000-0000-000035020000}"/>
    <cellStyle name="Normal 2 4 4 3 5" xfId="826" xr:uid="{00000000-0005-0000-0000-000036020000}"/>
    <cellStyle name="Normal 2 4 4 4" xfId="334" xr:uid="{00000000-0005-0000-0000-000037020000}"/>
    <cellStyle name="Normal 2 4 4 4 2" xfId="465" xr:uid="{00000000-0005-0000-0000-000038020000}"/>
    <cellStyle name="Normal 2 4 4 4 3" xfId="596" xr:uid="{00000000-0005-0000-0000-000039020000}"/>
    <cellStyle name="Normal 2 4 4 4 4" xfId="727" xr:uid="{00000000-0005-0000-0000-00003A020000}"/>
    <cellStyle name="Normal 2 4 4 4 5" xfId="858" xr:uid="{00000000-0005-0000-0000-00003B020000}"/>
    <cellStyle name="Normal 2 4 4 5" xfId="401" xr:uid="{00000000-0005-0000-0000-00003C020000}"/>
    <cellStyle name="Normal 2 4 4 5 2" xfId="532" xr:uid="{00000000-0005-0000-0000-00003D020000}"/>
    <cellStyle name="Normal 2 4 4 5 3" xfId="663" xr:uid="{00000000-0005-0000-0000-00003E020000}"/>
    <cellStyle name="Normal 2 4 4 5 4" xfId="794" xr:uid="{00000000-0005-0000-0000-00003F020000}"/>
    <cellStyle name="Normal 2 4 4 6" xfId="366" xr:uid="{00000000-0005-0000-0000-000040020000}"/>
    <cellStyle name="Normal 2 4 4 7" xfId="497" xr:uid="{00000000-0005-0000-0000-000041020000}"/>
    <cellStyle name="Normal 2 4 4 8" xfId="628" xr:uid="{00000000-0005-0000-0000-000042020000}"/>
    <cellStyle name="Normal 2 4 4 9" xfId="759" xr:uid="{00000000-0005-0000-0000-000043020000}"/>
    <cellStyle name="Normal 2 4 5" xfId="272" xr:uid="{00000000-0005-0000-0000-000044020000}"/>
    <cellStyle name="Normal 2 4 5 2" xfId="288" xr:uid="{00000000-0005-0000-0000-000045020000}"/>
    <cellStyle name="Normal 2 4 5 2 2" xfId="321" xr:uid="{00000000-0005-0000-0000-000046020000}"/>
    <cellStyle name="Normal 2 4 5 2 2 2" xfId="452" xr:uid="{00000000-0005-0000-0000-000047020000}"/>
    <cellStyle name="Normal 2 4 5 2 2 3" xfId="583" xr:uid="{00000000-0005-0000-0000-000048020000}"/>
    <cellStyle name="Normal 2 4 5 2 2 4" xfId="714" xr:uid="{00000000-0005-0000-0000-000049020000}"/>
    <cellStyle name="Normal 2 4 5 2 2 5" xfId="845" xr:uid="{00000000-0005-0000-0000-00004A020000}"/>
    <cellStyle name="Normal 2 4 5 2 3" xfId="353" xr:uid="{00000000-0005-0000-0000-00004B020000}"/>
    <cellStyle name="Normal 2 4 5 2 3 2" xfId="484" xr:uid="{00000000-0005-0000-0000-00004C020000}"/>
    <cellStyle name="Normal 2 4 5 2 3 3" xfId="615" xr:uid="{00000000-0005-0000-0000-00004D020000}"/>
    <cellStyle name="Normal 2 4 5 2 3 4" xfId="746" xr:uid="{00000000-0005-0000-0000-00004E020000}"/>
    <cellStyle name="Normal 2 4 5 2 3 5" xfId="877" xr:uid="{00000000-0005-0000-0000-00004F020000}"/>
    <cellStyle name="Normal 2 4 5 2 4" xfId="420" xr:uid="{00000000-0005-0000-0000-000050020000}"/>
    <cellStyle name="Normal 2 4 5 2 4 2" xfId="551" xr:uid="{00000000-0005-0000-0000-000051020000}"/>
    <cellStyle name="Normal 2 4 5 2 4 3" xfId="682" xr:uid="{00000000-0005-0000-0000-000052020000}"/>
    <cellStyle name="Normal 2 4 5 2 4 4" xfId="813" xr:uid="{00000000-0005-0000-0000-000053020000}"/>
    <cellStyle name="Normal 2 4 5 2 5" xfId="385" xr:uid="{00000000-0005-0000-0000-000054020000}"/>
    <cellStyle name="Normal 2 4 5 2 6" xfId="516" xr:uid="{00000000-0005-0000-0000-000055020000}"/>
    <cellStyle name="Normal 2 4 5 2 7" xfId="647" xr:uid="{00000000-0005-0000-0000-000056020000}"/>
    <cellStyle name="Normal 2 4 5 2 8" xfId="778" xr:uid="{00000000-0005-0000-0000-000057020000}"/>
    <cellStyle name="Normal 2 4 5 3" xfId="305" xr:uid="{00000000-0005-0000-0000-000058020000}"/>
    <cellStyle name="Normal 2 4 5 3 2" xfId="436" xr:uid="{00000000-0005-0000-0000-000059020000}"/>
    <cellStyle name="Normal 2 4 5 3 3" xfId="567" xr:uid="{00000000-0005-0000-0000-00005A020000}"/>
    <cellStyle name="Normal 2 4 5 3 4" xfId="698" xr:uid="{00000000-0005-0000-0000-00005B020000}"/>
    <cellStyle name="Normal 2 4 5 3 5" xfId="829" xr:uid="{00000000-0005-0000-0000-00005C020000}"/>
    <cellStyle name="Normal 2 4 5 4" xfId="337" xr:uid="{00000000-0005-0000-0000-00005D020000}"/>
    <cellStyle name="Normal 2 4 5 4 2" xfId="468" xr:uid="{00000000-0005-0000-0000-00005E020000}"/>
    <cellStyle name="Normal 2 4 5 4 3" xfId="599" xr:uid="{00000000-0005-0000-0000-00005F020000}"/>
    <cellStyle name="Normal 2 4 5 4 4" xfId="730" xr:uid="{00000000-0005-0000-0000-000060020000}"/>
    <cellStyle name="Normal 2 4 5 4 5" xfId="861" xr:uid="{00000000-0005-0000-0000-000061020000}"/>
    <cellStyle name="Normal 2 4 5 5" xfId="404" xr:uid="{00000000-0005-0000-0000-000062020000}"/>
    <cellStyle name="Normal 2 4 5 5 2" xfId="535" xr:uid="{00000000-0005-0000-0000-000063020000}"/>
    <cellStyle name="Normal 2 4 5 5 3" xfId="666" xr:uid="{00000000-0005-0000-0000-000064020000}"/>
    <cellStyle name="Normal 2 4 5 5 4" xfId="797" xr:uid="{00000000-0005-0000-0000-000065020000}"/>
    <cellStyle name="Normal 2 4 5 6" xfId="369" xr:uid="{00000000-0005-0000-0000-000066020000}"/>
    <cellStyle name="Normal 2 4 5 7" xfId="500" xr:uid="{00000000-0005-0000-0000-000067020000}"/>
    <cellStyle name="Normal 2 4 5 8" xfId="631" xr:uid="{00000000-0005-0000-0000-000068020000}"/>
    <cellStyle name="Normal 2 4 5 9" xfId="762" xr:uid="{00000000-0005-0000-0000-000069020000}"/>
    <cellStyle name="Normal 2 4 6" xfId="276" xr:uid="{00000000-0005-0000-0000-00006A020000}"/>
    <cellStyle name="Normal 2 4 6 2" xfId="309" xr:uid="{00000000-0005-0000-0000-00006B020000}"/>
    <cellStyle name="Normal 2 4 6 2 2" xfId="440" xr:uid="{00000000-0005-0000-0000-00006C020000}"/>
    <cellStyle name="Normal 2 4 6 2 3" xfId="571" xr:uid="{00000000-0005-0000-0000-00006D020000}"/>
    <cellStyle name="Normal 2 4 6 2 4" xfId="702" xr:uid="{00000000-0005-0000-0000-00006E020000}"/>
    <cellStyle name="Normal 2 4 6 2 5" xfId="833" xr:uid="{00000000-0005-0000-0000-00006F020000}"/>
    <cellStyle name="Normal 2 4 6 3" xfId="341" xr:uid="{00000000-0005-0000-0000-000070020000}"/>
    <cellStyle name="Normal 2 4 6 3 2" xfId="472" xr:uid="{00000000-0005-0000-0000-000071020000}"/>
    <cellStyle name="Normal 2 4 6 3 3" xfId="603" xr:uid="{00000000-0005-0000-0000-000072020000}"/>
    <cellStyle name="Normal 2 4 6 3 4" xfId="734" xr:uid="{00000000-0005-0000-0000-000073020000}"/>
    <cellStyle name="Normal 2 4 6 3 5" xfId="865" xr:uid="{00000000-0005-0000-0000-000074020000}"/>
    <cellStyle name="Normal 2 4 6 4" xfId="408" xr:uid="{00000000-0005-0000-0000-000075020000}"/>
    <cellStyle name="Normal 2 4 6 4 2" xfId="539" xr:uid="{00000000-0005-0000-0000-000076020000}"/>
    <cellStyle name="Normal 2 4 6 4 3" xfId="670" xr:uid="{00000000-0005-0000-0000-000077020000}"/>
    <cellStyle name="Normal 2 4 6 4 4" xfId="801" xr:uid="{00000000-0005-0000-0000-000078020000}"/>
    <cellStyle name="Normal 2 4 6 5" xfId="373" xr:uid="{00000000-0005-0000-0000-000079020000}"/>
    <cellStyle name="Normal 2 4 6 6" xfId="504" xr:uid="{00000000-0005-0000-0000-00007A020000}"/>
    <cellStyle name="Normal 2 4 6 7" xfId="635" xr:uid="{00000000-0005-0000-0000-00007B020000}"/>
    <cellStyle name="Normal 2 4 6 8" xfId="766" xr:uid="{00000000-0005-0000-0000-00007C020000}"/>
    <cellStyle name="Normal 2 4 7" xfId="260" xr:uid="{00000000-0005-0000-0000-00007D020000}"/>
    <cellStyle name="Normal 2 4 7 2" xfId="392" xr:uid="{00000000-0005-0000-0000-00007E020000}"/>
    <cellStyle name="Normal 2 4 7 3" xfId="523" xr:uid="{00000000-0005-0000-0000-00007F020000}"/>
    <cellStyle name="Normal 2 4 7 4" xfId="654" xr:uid="{00000000-0005-0000-0000-000080020000}"/>
    <cellStyle name="Normal 2 4 7 5" xfId="785" xr:uid="{00000000-0005-0000-0000-000081020000}"/>
    <cellStyle name="Normal 2 4 8" xfId="293" xr:uid="{00000000-0005-0000-0000-000082020000}"/>
    <cellStyle name="Normal 2 4 8 2" xfId="424" xr:uid="{00000000-0005-0000-0000-000083020000}"/>
    <cellStyle name="Normal 2 4 8 3" xfId="555" xr:uid="{00000000-0005-0000-0000-000084020000}"/>
    <cellStyle name="Normal 2 4 8 4" xfId="686" xr:uid="{00000000-0005-0000-0000-000085020000}"/>
    <cellStyle name="Normal 2 4 8 5" xfId="817" xr:uid="{00000000-0005-0000-0000-000086020000}"/>
    <cellStyle name="Normal 2 4 9" xfId="325" xr:uid="{00000000-0005-0000-0000-000087020000}"/>
    <cellStyle name="Normal 2 4 9 2" xfId="456" xr:uid="{00000000-0005-0000-0000-000088020000}"/>
    <cellStyle name="Normal 2 4 9 3" xfId="587" xr:uid="{00000000-0005-0000-0000-000089020000}"/>
    <cellStyle name="Normal 2 4 9 4" xfId="718" xr:uid="{00000000-0005-0000-0000-00008A020000}"/>
    <cellStyle name="Normal 2 4 9 5" xfId="849" xr:uid="{00000000-0005-0000-0000-00008B020000}"/>
    <cellStyle name="Normal 2 5" xfId="187" xr:uid="{00000000-0005-0000-0000-00008C020000}"/>
    <cellStyle name="Normal 2 6" xfId="258" xr:uid="{00000000-0005-0000-0000-00008D020000}"/>
    <cellStyle name="Normal 2 6 2" xfId="274" xr:uid="{00000000-0005-0000-0000-00008E020000}"/>
    <cellStyle name="Normal 2 6 2 2" xfId="307" xr:uid="{00000000-0005-0000-0000-00008F020000}"/>
    <cellStyle name="Normal 2 6 2 2 2" xfId="438" xr:uid="{00000000-0005-0000-0000-000090020000}"/>
    <cellStyle name="Normal 2 6 2 2 3" xfId="569" xr:uid="{00000000-0005-0000-0000-000091020000}"/>
    <cellStyle name="Normal 2 6 2 2 4" xfId="700" xr:uid="{00000000-0005-0000-0000-000092020000}"/>
    <cellStyle name="Normal 2 6 2 2 5" xfId="831" xr:uid="{00000000-0005-0000-0000-000093020000}"/>
    <cellStyle name="Normal 2 6 2 3" xfId="339" xr:uid="{00000000-0005-0000-0000-000094020000}"/>
    <cellStyle name="Normal 2 6 2 3 2" xfId="470" xr:uid="{00000000-0005-0000-0000-000095020000}"/>
    <cellStyle name="Normal 2 6 2 3 3" xfId="601" xr:uid="{00000000-0005-0000-0000-000096020000}"/>
    <cellStyle name="Normal 2 6 2 3 4" xfId="732" xr:uid="{00000000-0005-0000-0000-000097020000}"/>
    <cellStyle name="Normal 2 6 2 3 5" xfId="863" xr:uid="{00000000-0005-0000-0000-000098020000}"/>
    <cellStyle name="Normal 2 6 2 4" xfId="406" xr:uid="{00000000-0005-0000-0000-000099020000}"/>
    <cellStyle name="Normal 2 6 2 4 2" xfId="537" xr:uid="{00000000-0005-0000-0000-00009A020000}"/>
    <cellStyle name="Normal 2 6 2 4 3" xfId="668" xr:uid="{00000000-0005-0000-0000-00009B020000}"/>
    <cellStyle name="Normal 2 6 2 4 4" xfId="799" xr:uid="{00000000-0005-0000-0000-00009C020000}"/>
    <cellStyle name="Normal 2 6 2 5" xfId="371" xr:uid="{00000000-0005-0000-0000-00009D020000}"/>
    <cellStyle name="Normal 2 6 2 6" xfId="502" xr:uid="{00000000-0005-0000-0000-00009E020000}"/>
    <cellStyle name="Normal 2 6 2 7" xfId="633" xr:uid="{00000000-0005-0000-0000-00009F020000}"/>
    <cellStyle name="Normal 2 6 2 8" xfId="764" xr:uid="{00000000-0005-0000-0000-0000A0020000}"/>
    <cellStyle name="Normal 2 6 3" xfId="291" xr:uid="{00000000-0005-0000-0000-0000A1020000}"/>
    <cellStyle name="Normal 2 6 3 2" xfId="422" xr:uid="{00000000-0005-0000-0000-0000A2020000}"/>
    <cellStyle name="Normal 2 6 3 3" xfId="553" xr:uid="{00000000-0005-0000-0000-0000A3020000}"/>
    <cellStyle name="Normal 2 6 3 4" xfId="684" xr:uid="{00000000-0005-0000-0000-0000A4020000}"/>
    <cellStyle name="Normal 2 6 3 5" xfId="815" xr:uid="{00000000-0005-0000-0000-0000A5020000}"/>
    <cellStyle name="Normal 2 6 4" xfId="323" xr:uid="{00000000-0005-0000-0000-0000A6020000}"/>
    <cellStyle name="Normal 2 6 4 2" xfId="454" xr:uid="{00000000-0005-0000-0000-0000A7020000}"/>
    <cellStyle name="Normal 2 6 4 3" xfId="585" xr:uid="{00000000-0005-0000-0000-0000A8020000}"/>
    <cellStyle name="Normal 2 6 4 4" xfId="716" xr:uid="{00000000-0005-0000-0000-0000A9020000}"/>
    <cellStyle name="Normal 2 6 4 5" xfId="847" xr:uid="{00000000-0005-0000-0000-0000AA020000}"/>
    <cellStyle name="Normal 2 6 5" xfId="390" xr:uid="{00000000-0005-0000-0000-0000AB020000}"/>
    <cellStyle name="Normal 2 6 5 2" xfId="521" xr:uid="{00000000-0005-0000-0000-0000AC020000}"/>
    <cellStyle name="Normal 2 6 5 3" xfId="652" xr:uid="{00000000-0005-0000-0000-0000AD020000}"/>
    <cellStyle name="Normal 2 6 5 4" xfId="783" xr:uid="{00000000-0005-0000-0000-0000AE020000}"/>
    <cellStyle name="Normal 2 6 6" xfId="355" xr:uid="{00000000-0005-0000-0000-0000AF020000}"/>
    <cellStyle name="Normal 2 6 7" xfId="486" xr:uid="{00000000-0005-0000-0000-0000B0020000}"/>
    <cellStyle name="Normal 2 6 8" xfId="617" xr:uid="{00000000-0005-0000-0000-0000B1020000}"/>
    <cellStyle name="Normal 2 6 9" xfId="748" xr:uid="{00000000-0005-0000-0000-0000B2020000}"/>
    <cellStyle name="Normal 2 7" xfId="261" xr:uid="{00000000-0005-0000-0000-0000B3020000}"/>
    <cellStyle name="Normal 2 7 2" xfId="277" xr:uid="{00000000-0005-0000-0000-0000B4020000}"/>
    <cellStyle name="Normal 2 7 2 2" xfId="310" xr:uid="{00000000-0005-0000-0000-0000B5020000}"/>
    <cellStyle name="Normal 2 7 2 2 2" xfId="441" xr:uid="{00000000-0005-0000-0000-0000B6020000}"/>
    <cellStyle name="Normal 2 7 2 2 3" xfId="572" xr:uid="{00000000-0005-0000-0000-0000B7020000}"/>
    <cellStyle name="Normal 2 7 2 2 4" xfId="703" xr:uid="{00000000-0005-0000-0000-0000B8020000}"/>
    <cellStyle name="Normal 2 7 2 2 5" xfId="834" xr:uid="{00000000-0005-0000-0000-0000B9020000}"/>
    <cellStyle name="Normal 2 7 2 3" xfId="342" xr:uid="{00000000-0005-0000-0000-0000BA020000}"/>
    <cellStyle name="Normal 2 7 2 3 2" xfId="473" xr:uid="{00000000-0005-0000-0000-0000BB020000}"/>
    <cellStyle name="Normal 2 7 2 3 3" xfId="604" xr:uid="{00000000-0005-0000-0000-0000BC020000}"/>
    <cellStyle name="Normal 2 7 2 3 4" xfId="735" xr:uid="{00000000-0005-0000-0000-0000BD020000}"/>
    <cellStyle name="Normal 2 7 2 3 5" xfId="866" xr:uid="{00000000-0005-0000-0000-0000BE020000}"/>
    <cellStyle name="Normal 2 7 2 4" xfId="409" xr:uid="{00000000-0005-0000-0000-0000BF020000}"/>
    <cellStyle name="Normal 2 7 2 4 2" xfId="540" xr:uid="{00000000-0005-0000-0000-0000C0020000}"/>
    <cellStyle name="Normal 2 7 2 4 3" xfId="671" xr:uid="{00000000-0005-0000-0000-0000C1020000}"/>
    <cellStyle name="Normal 2 7 2 4 4" xfId="802" xr:uid="{00000000-0005-0000-0000-0000C2020000}"/>
    <cellStyle name="Normal 2 7 2 5" xfId="374" xr:uid="{00000000-0005-0000-0000-0000C3020000}"/>
    <cellStyle name="Normal 2 7 2 6" xfId="505" xr:uid="{00000000-0005-0000-0000-0000C4020000}"/>
    <cellStyle name="Normal 2 7 2 7" xfId="636" xr:uid="{00000000-0005-0000-0000-0000C5020000}"/>
    <cellStyle name="Normal 2 7 2 8" xfId="767" xr:uid="{00000000-0005-0000-0000-0000C6020000}"/>
    <cellStyle name="Normal 2 7 3" xfId="294" xr:uid="{00000000-0005-0000-0000-0000C7020000}"/>
    <cellStyle name="Normal 2 7 3 2" xfId="425" xr:uid="{00000000-0005-0000-0000-0000C8020000}"/>
    <cellStyle name="Normal 2 7 3 3" xfId="556" xr:uid="{00000000-0005-0000-0000-0000C9020000}"/>
    <cellStyle name="Normal 2 7 3 4" xfId="687" xr:uid="{00000000-0005-0000-0000-0000CA020000}"/>
    <cellStyle name="Normal 2 7 3 5" xfId="818" xr:uid="{00000000-0005-0000-0000-0000CB020000}"/>
    <cellStyle name="Normal 2 7 4" xfId="326" xr:uid="{00000000-0005-0000-0000-0000CC020000}"/>
    <cellStyle name="Normal 2 7 4 2" xfId="457" xr:uid="{00000000-0005-0000-0000-0000CD020000}"/>
    <cellStyle name="Normal 2 7 4 3" xfId="588" xr:uid="{00000000-0005-0000-0000-0000CE020000}"/>
    <cellStyle name="Normal 2 7 4 4" xfId="719" xr:uid="{00000000-0005-0000-0000-0000CF020000}"/>
    <cellStyle name="Normal 2 7 4 5" xfId="850" xr:uid="{00000000-0005-0000-0000-0000D0020000}"/>
    <cellStyle name="Normal 2 7 5" xfId="393" xr:uid="{00000000-0005-0000-0000-0000D1020000}"/>
    <cellStyle name="Normal 2 7 5 2" xfId="524" xr:uid="{00000000-0005-0000-0000-0000D2020000}"/>
    <cellStyle name="Normal 2 7 5 3" xfId="655" xr:uid="{00000000-0005-0000-0000-0000D3020000}"/>
    <cellStyle name="Normal 2 7 5 4" xfId="786" xr:uid="{00000000-0005-0000-0000-0000D4020000}"/>
    <cellStyle name="Normal 2 7 6" xfId="358" xr:uid="{00000000-0005-0000-0000-0000D5020000}"/>
    <cellStyle name="Normal 2 7 7" xfId="489" xr:uid="{00000000-0005-0000-0000-0000D6020000}"/>
    <cellStyle name="Normal 2 7 8" xfId="620" xr:uid="{00000000-0005-0000-0000-0000D7020000}"/>
    <cellStyle name="Normal 2 7 9" xfId="751" xr:uid="{00000000-0005-0000-0000-0000D8020000}"/>
    <cellStyle name="Normal 2 8" xfId="264" xr:uid="{00000000-0005-0000-0000-0000D9020000}"/>
    <cellStyle name="Normal 2 8 2" xfId="280" xr:uid="{00000000-0005-0000-0000-0000DA020000}"/>
    <cellStyle name="Normal 2 8 2 2" xfId="313" xr:uid="{00000000-0005-0000-0000-0000DB020000}"/>
    <cellStyle name="Normal 2 8 2 2 2" xfId="444" xr:uid="{00000000-0005-0000-0000-0000DC020000}"/>
    <cellStyle name="Normal 2 8 2 2 3" xfId="575" xr:uid="{00000000-0005-0000-0000-0000DD020000}"/>
    <cellStyle name="Normal 2 8 2 2 4" xfId="706" xr:uid="{00000000-0005-0000-0000-0000DE020000}"/>
    <cellStyle name="Normal 2 8 2 2 5" xfId="837" xr:uid="{00000000-0005-0000-0000-0000DF020000}"/>
    <cellStyle name="Normal 2 8 2 3" xfId="345" xr:uid="{00000000-0005-0000-0000-0000E0020000}"/>
    <cellStyle name="Normal 2 8 2 3 2" xfId="476" xr:uid="{00000000-0005-0000-0000-0000E1020000}"/>
    <cellStyle name="Normal 2 8 2 3 3" xfId="607" xr:uid="{00000000-0005-0000-0000-0000E2020000}"/>
    <cellStyle name="Normal 2 8 2 3 4" xfId="738" xr:uid="{00000000-0005-0000-0000-0000E3020000}"/>
    <cellStyle name="Normal 2 8 2 3 5" xfId="869" xr:uid="{00000000-0005-0000-0000-0000E4020000}"/>
    <cellStyle name="Normal 2 8 2 4" xfId="412" xr:uid="{00000000-0005-0000-0000-0000E5020000}"/>
    <cellStyle name="Normal 2 8 2 4 2" xfId="543" xr:uid="{00000000-0005-0000-0000-0000E6020000}"/>
    <cellStyle name="Normal 2 8 2 4 3" xfId="674" xr:uid="{00000000-0005-0000-0000-0000E7020000}"/>
    <cellStyle name="Normal 2 8 2 4 4" xfId="805" xr:uid="{00000000-0005-0000-0000-0000E8020000}"/>
    <cellStyle name="Normal 2 8 2 5" xfId="377" xr:uid="{00000000-0005-0000-0000-0000E9020000}"/>
    <cellStyle name="Normal 2 8 2 6" xfId="508" xr:uid="{00000000-0005-0000-0000-0000EA020000}"/>
    <cellStyle name="Normal 2 8 2 7" xfId="639" xr:uid="{00000000-0005-0000-0000-0000EB020000}"/>
    <cellStyle name="Normal 2 8 2 8" xfId="770" xr:uid="{00000000-0005-0000-0000-0000EC020000}"/>
    <cellStyle name="Normal 2 8 3" xfId="297" xr:uid="{00000000-0005-0000-0000-0000ED020000}"/>
    <cellStyle name="Normal 2 8 3 2" xfId="428" xr:uid="{00000000-0005-0000-0000-0000EE020000}"/>
    <cellStyle name="Normal 2 8 3 3" xfId="559" xr:uid="{00000000-0005-0000-0000-0000EF020000}"/>
    <cellStyle name="Normal 2 8 3 4" xfId="690" xr:uid="{00000000-0005-0000-0000-0000F0020000}"/>
    <cellStyle name="Normal 2 8 3 5" xfId="821" xr:uid="{00000000-0005-0000-0000-0000F1020000}"/>
    <cellStyle name="Normal 2 8 4" xfId="329" xr:uid="{00000000-0005-0000-0000-0000F2020000}"/>
    <cellStyle name="Normal 2 8 4 2" xfId="460" xr:uid="{00000000-0005-0000-0000-0000F3020000}"/>
    <cellStyle name="Normal 2 8 4 3" xfId="591" xr:uid="{00000000-0005-0000-0000-0000F4020000}"/>
    <cellStyle name="Normal 2 8 4 4" xfId="722" xr:uid="{00000000-0005-0000-0000-0000F5020000}"/>
    <cellStyle name="Normal 2 8 4 5" xfId="853" xr:uid="{00000000-0005-0000-0000-0000F6020000}"/>
    <cellStyle name="Normal 2 8 5" xfId="396" xr:uid="{00000000-0005-0000-0000-0000F7020000}"/>
    <cellStyle name="Normal 2 8 5 2" xfId="527" xr:uid="{00000000-0005-0000-0000-0000F8020000}"/>
    <cellStyle name="Normal 2 8 5 3" xfId="658" xr:uid="{00000000-0005-0000-0000-0000F9020000}"/>
    <cellStyle name="Normal 2 8 5 4" xfId="789" xr:uid="{00000000-0005-0000-0000-0000FA020000}"/>
    <cellStyle name="Normal 2 8 6" xfId="361" xr:uid="{00000000-0005-0000-0000-0000FB020000}"/>
    <cellStyle name="Normal 2 8 7" xfId="492" xr:uid="{00000000-0005-0000-0000-0000FC020000}"/>
    <cellStyle name="Normal 2 8 8" xfId="623" xr:uid="{00000000-0005-0000-0000-0000FD020000}"/>
    <cellStyle name="Normal 2 8 9" xfId="754" xr:uid="{00000000-0005-0000-0000-0000FE020000}"/>
    <cellStyle name="Normal 2 9" xfId="267" xr:uid="{00000000-0005-0000-0000-0000FF020000}"/>
    <cellStyle name="Normal 2 9 2" xfId="283" xr:uid="{00000000-0005-0000-0000-000000030000}"/>
    <cellStyle name="Normal 2 9 2 2" xfId="316" xr:uid="{00000000-0005-0000-0000-000001030000}"/>
    <cellStyle name="Normal 2 9 2 2 2" xfId="447" xr:uid="{00000000-0005-0000-0000-000002030000}"/>
    <cellStyle name="Normal 2 9 2 2 3" xfId="578" xr:uid="{00000000-0005-0000-0000-000003030000}"/>
    <cellStyle name="Normal 2 9 2 2 4" xfId="709" xr:uid="{00000000-0005-0000-0000-000004030000}"/>
    <cellStyle name="Normal 2 9 2 2 5" xfId="840" xr:uid="{00000000-0005-0000-0000-000005030000}"/>
    <cellStyle name="Normal 2 9 2 3" xfId="348" xr:uid="{00000000-0005-0000-0000-000006030000}"/>
    <cellStyle name="Normal 2 9 2 3 2" xfId="479" xr:uid="{00000000-0005-0000-0000-000007030000}"/>
    <cellStyle name="Normal 2 9 2 3 3" xfId="610" xr:uid="{00000000-0005-0000-0000-000008030000}"/>
    <cellStyle name="Normal 2 9 2 3 4" xfId="741" xr:uid="{00000000-0005-0000-0000-000009030000}"/>
    <cellStyle name="Normal 2 9 2 3 5" xfId="872" xr:uid="{00000000-0005-0000-0000-00000A030000}"/>
    <cellStyle name="Normal 2 9 2 4" xfId="415" xr:uid="{00000000-0005-0000-0000-00000B030000}"/>
    <cellStyle name="Normal 2 9 2 4 2" xfId="546" xr:uid="{00000000-0005-0000-0000-00000C030000}"/>
    <cellStyle name="Normal 2 9 2 4 3" xfId="677" xr:uid="{00000000-0005-0000-0000-00000D030000}"/>
    <cellStyle name="Normal 2 9 2 4 4" xfId="808" xr:uid="{00000000-0005-0000-0000-00000E030000}"/>
    <cellStyle name="Normal 2 9 2 5" xfId="380" xr:uid="{00000000-0005-0000-0000-00000F030000}"/>
    <cellStyle name="Normal 2 9 2 6" xfId="511" xr:uid="{00000000-0005-0000-0000-000010030000}"/>
    <cellStyle name="Normal 2 9 2 7" xfId="642" xr:uid="{00000000-0005-0000-0000-000011030000}"/>
    <cellStyle name="Normal 2 9 2 8" xfId="773" xr:uid="{00000000-0005-0000-0000-000012030000}"/>
    <cellStyle name="Normal 2 9 3" xfId="300" xr:uid="{00000000-0005-0000-0000-000013030000}"/>
    <cellStyle name="Normal 2 9 3 2" xfId="431" xr:uid="{00000000-0005-0000-0000-000014030000}"/>
    <cellStyle name="Normal 2 9 3 3" xfId="562" xr:uid="{00000000-0005-0000-0000-000015030000}"/>
    <cellStyle name="Normal 2 9 3 4" xfId="693" xr:uid="{00000000-0005-0000-0000-000016030000}"/>
    <cellStyle name="Normal 2 9 3 5" xfId="824" xr:uid="{00000000-0005-0000-0000-000017030000}"/>
    <cellStyle name="Normal 2 9 4" xfId="332" xr:uid="{00000000-0005-0000-0000-000018030000}"/>
    <cellStyle name="Normal 2 9 4 2" xfId="463" xr:uid="{00000000-0005-0000-0000-000019030000}"/>
    <cellStyle name="Normal 2 9 4 3" xfId="594" xr:uid="{00000000-0005-0000-0000-00001A030000}"/>
    <cellStyle name="Normal 2 9 4 4" xfId="725" xr:uid="{00000000-0005-0000-0000-00001B030000}"/>
    <cellStyle name="Normal 2 9 4 5" xfId="856" xr:uid="{00000000-0005-0000-0000-00001C030000}"/>
    <cellStyle name="Normal 2 9 5" xfId="399" xr:uid="{00000000-0005-0000-0000-00001D030000}"/>
    <cellStyle name="Normal 2 9 5 2" xfId="530" xr:uid="{00000000-0005-0000-0000-00001E030000}"/>
    <cellStyle name="Normal 2 9 5 3" xfId="661" xr:uid="{00000000-0005-0000-0000-00001F030000}"/>
    <cellStyle name="Normal 2 9 5 4" xfId="792" xr:uid="{00000000-0005-0000-0000-000020030000}"/>
    <cellStyle name="Normal 2 9 6" xfId="364" xr:uid="{00000000-0005-0000-0000-000021030000}"/>
    <cellStyle name="Normal 2 9 7" xfId="495" xr:uid="{00000000-0005-0000-0000-000022030000}"/>
    <cellStyle name="Normal 2 9 8" xfId="626" xr:uid="{00000000-0005-0000-0000-000023030000}"/>
    <cellStyle name="Normal 2 9 9" xfId="757" xr:uid="{00000000-0005-0000-0000-000024030000}"/>
    <cellStyle name="Normal 3" xfId="192" xr:uid="{00000000-0005-0000-0000-000025030000}"/>
    <cellStyle name="Normal 3 2" xfId="193" xr:uid="{00000000-0005-0000-0000-000026030000}"/>
    <cellStyle name="Normal 3 3" xfId="194" xr:uid="{00000000-0005-0000-0000-000027030000}"/>
    <cellStyle name="Normal 4" xfId="41" xr:uid="{00000000-0005-0000-0000-000028030000}"/>
    <cellStyle name="Normal 5" xfId="878" xr:uid="{00000000-0005-0000-0000-000029030000}"/>
    <cellStyle name="Normal 6" xfId="882" xr:uid="{00000000-0005-0000-0000-00002A030000}"/>
    <cellStyle name="Normal 6 2" xfId="883" xr:uid="{00000000-0005-0000-0000-00002B030000}"/>
    <cellStyle name="Normal 7" xfId="884" xr:uid="{00000000-0005-0000-0000-00002C030000}"/>
    <cellStyle name="Normal 7 2" xfId="885" xr:uid="{00000000-0005-0000-0000-00002D030000}"/>
    <cellStyle name="Nota 2" xfId="196" xr:uid="{00000000-0005-0000-0000-00002E030000}"/>
    <cellStyle name="Nota 3" xfId="197" xr:uid="{00000000-0005-0000-0000-00002F030000}"/>
    <cellStyle name="Nota 4" xfId="195" xr:uid="{00000000-0005-0000-0000-000030030000}"/>
    <cellStyle name="Note" xfId="198" xr:uid="{00000000-0005-0000-0000-000031030000}"/>
    <cellStyle name="Output" xfId="199" xr:uid="{00000000-0005-0000-0000-000032030000}"/>
    <cellStyle name="Percen - Estilo1" xfId="34" xr:uid="{00000000-0005-0000-0000-000033030000}"/>
    <cellStyle name="Percent" xfId="35" xr:uid="{00000000-0005-0000-0000-000034030000}"/>
    <cellStyle name="Porcentagem" xfId="1" builtinId="5"/>
    <cellStyle name="Porcentagem 2" xfId="201" xr:uid="{00000000-0005-0000-0000-000036030000}"/>
    <cellStyle name="Porcentagem 2 2" xfId="202" xr:uid="{00000000-0005-0000-0000-000037030000}"/>
    <cellStyle name="Porcentagem 2 2 2" xfId="203" xr:uid="{00000000-0005-0000-0000-000038030000}"/>
    <cellStyle name="Porcentagem 2 3" xfId="204" xr:uid="{00000000-0005-0000-0000-000039030000}"/>
    <cellStyle name="Porcentagem 3" xfId="205" xr:uid="{00000000-0005-0000-0000-00003A030000}"/>
    <cellStyle name="Porcentagem 4" xfId="206" xr:uid="{00000000-0005-0000-0000-00003B030000}"/>
    <cellStyle name="Porcentagem 5" xfId="207" xr:uid="{00000000-0005-0000-0000-00003C030000}"/>
    <cellStyle name="Porcentagem 6" xfId="200" xr:uid="{00000000-0005-0000-0000-00003D030000}"/>
    <cellStyle name="Porcentagem 7" xfId="880" xr:uid="{00000000-0005-0000-0000-00003E030000}"/>
    <cellStyle name="Porcentaje" xfId="36" xr:uid="{00000000-0005-0000-0000-00003F030000}"/>
    <cellStyle name="Punto" xfId="37" xr:uid="{00000000-0005-0000-0000-000040030000}"/>
    <cellStyle name="Punto0" xfId="38" xr:uid="{00000000-0005-0000-0000-000041030000}"/>
    <cellStyle name="Saída 2" xfId="209" xr:uid="{00000000-0005-0000-0000-000042030000}"/>
    <cellStyle name="Saída 3" xfId="210" xr:uid="{00000000-0005-0000-0000-000043030000}"/>
    <cellStyle name="Saída 4" xfId="208" xr:uid="{00000000-0005-0000-0000-000044030000}"/>
    <cellStyle name="Separador de milhares 10" xfId="212" xr:uid="{00000000-0005-0000-0000-000045030000}"/>
    <cellStyle name="Separador de milhares 12" xfId="213" xr:uid="{00000000-0005-0000-0000-000046030000}"/>
    <cellStyle name="Separador de milhares 2" xfId="214" xr:uid="{00000000-0005-0000-0000-000047030000}"/>
    <cellStyle name="Separador de milhares 2 2" xfId="215" xr:uid="{00000000-0005-0000-0000-000048030000}"/>
    <cellStyle name="Separador de milhares 2 2 2" xfId="216" xr:uid="{00000000-0005-0000-0000-000049030000}"/>
    <cellStyle name="Separador de milhares 2 2 3" xfId="217" xr:uid="{00000000-0005-0000-0000-00004A030000}"/>
    <cellStyle name="Separador de milhares 2 3" xfId="218" xr:uid="{00000000-0005-0000-0000-00004B030000}"/>
    <cellStyle name="Separador de milhares 3" xfId="219" xr:uid="{00000000-0005-0000-0000-00004C030000}"/>
    <cellStyle name="Separador de milhares 3 2" xfId="220" xr:uid="{00000000-0005-0000-0000-00004D030000}"/>
    <cellStyle name="Separador de milhares 4" xfId="221" xr:uid="{00000000-0005-0000-0000-00004E030000}"/>
    <cellStyle name="Separador de milhares 5" xfId="222" xr:uid="{00000000-0005-0000-0000-00004F030000}"/>
    <cellStyle name="Separador de milhares 6" xfId="223" xr:uid="{00000000-0005-0000-0000-000050030000}"/>
    <cellStyle name="Separador de milhares 7" xfId="224" xr:uid="{00000000-0005-0000-0000-000051030000}"/>
    <cellStyle name="Separador de milhares 7 2" xfId="225" xr:uid="{00000000-0005-0000-0000-000052030000}"/>
    <cellStyle name="Separador de milhares 8" xfId="226" xr:uid="{00000000-0005-0000-0000-000053030000}"/>
    <cellStyle name="Separador de milhares 8 2" xfId="227" xr:uid="{00000000-0005-0000-0000-000054030000}"/>
    <cellStyle name="Separador de milhares 9" xfId="228" xr:uid="{00000000-0005-0000-0000-000055030000}"/>
    <cellStyle name="Texto de Aviso 2" xfId="230" xr:uid="{00000000-0005-0000-0000-000056030000}"/>
    <cellStyle name="Texto de Aviso 3" xfId="231" xr:uid="{00000000-0005-0000-0000-000057030000}"/>
    <cellStyle name="Texto de Aviso 4" xfId="229" xr:uid="{00000000-0005-0000-0000-000058030000}"/>
    <cellStyle name="Texto Explicativo 2" xfId="233" xr:uid="{00000000-0005-0000-0000-000059030000}"/>
    <cellStyle name="Texto Explicativo 3" xfId="234" xr:uid="{00000000-0005-0000-0000-00005A030000}"/>
    <cellStyle name="Texto Explicativo 4" xfId="232" xr:uid="{00000000-0005-0000-0000-00005B030000}"/>
    <cellStyle name="Title" xfId="235" xr:uid="{00000000-0005-0000-0000-00005C030000}"/>
    <cellStyle name="Título 1 2" xfId="238" xr:uid="{00000000-0005-0000-0000-00005D030000}"/>
    <cellStyle name="Título 1 3" xfId="239" xr:uid="{00000000-0005-0000-0000-00005E030000}"/>
    <cellStyle name="Título 1 4" xfId="237" xr:uid="{00000000-0005-0000-0000-00005F030000}"/>
    <cellStyle name="Título 2 2" xfId="241" xr:uid="{00000000-0005-0000-0000-000060030000}"/>
    <cellStyle name="Título 2 3" xfId="242" xr:uid="{00000000-0005-0000-0000-000061030000}"/>
    <cellStyle name="Título 2 4" xfId="240" xr:uid="{00000000-0005-0000-0000-000062030000}"/>
    <cellStyle name="Título 3 2" xfId="244" xr:uid="{00000000-0005-0000-0000-000063030000}"/>
    <cellStyle name="Título 3 3" xfId="245" xr:uid="{00000000-0005-0000-0000-000064030000}"/>
    <cellStyle name="Título 3 4" xfId="243" xr:uid="{00000000-0005-0000-0000-000065030000}"/>
    <cellStyle name="Título 4 2" xfId="247" xr:uid="{00000000-0005-0000-0000-000066030000}"/>
    <cellStyle name="Título 4 3" xfId="248" xr:uid="{00000000-0005-0000-0000-000067030000}"/>
    <cellStyle name="Título 4 4" xfId="246" xr:uid="{00000000-0005-0000-0000-000068030000}"/>
    <cellStyle name="Título 5" xfId="249" xr:uid="{00000000-0005-0000-0000-000069030000}"/>
    <cellStyle name="Título 6" xfId="250" xr:uid="{00000000-0005-0000-0000-00006A030000}"/>
    <cellStyle name="Título 7" xfId="236" xr:uid="{00000000-0005-0000-0000-00006B030000}"/>
    <cellStyle name="Total 2" xfId="40" xr:uid="{00000000-0005-0000-0000-00006C030000}"/>
    <cellStyle name="Total 2 2" xfId="253" xr:uid="{00000000-0005-0000-0000-00006D030000}"/>
    <cellStyle name="Total 2 3" xfId="252" xr:uid="{00000000-0005-0000-0000-00006E030000}"/>
    <cellStyle name="Total 3" xfId="254" xr:uid="{00000000-0005-0000-0000-00006F030000}"/>
    <cellStyle name="Total 4" xfId="255" xr:uid="{00000000-0005-0000-0000-000070030000}"/>
    <cellStyle name="Total 5" xfId="251" xr:uid="{00000000-0005-0000-0000-000071030000}"/>
    <cellStyle name="Total 6" xfId="39" xr:uid="{00000000-0005-0000-0000-000072030000}"/>
    <cellStyle name="Vírgula 2" xfId="211" xr:uid="{00000000-0005-0000-0000-000073030000}"/>
    <cellStyle name="Vírgula 3" xfId="289" xr:uid="{00000000-0005-0000-0000-000074030000}"/>
    <cellStyle name="Warning Text" xfId="256" xr:uid="{00000000-0005-0000-0000-000075030000}"/>
  </cellStyles>
  <dxfs count="17">
    <dxf>
      <font>
        <b/>
        <i val="0"/>
      </font>
      <fill>
        <patternFill>
          <bgColor rgb="FF92D050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130967</xdr:colOff>
      <xdr:row>1</xdr:row>
      <xdr:rowOff>23815</xdr:rowOff>
    </xdr:from>
    <xdr:to>
      <xdr:col>2</xdr:col>
      <xdr:colOff>1928812</xdr:colOff>
      <xdr:row>3</xdr:row>
      <xdr:rowOff>261936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D1FF9D-5B8B-42E5-88FA-28735F5A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0" y="261940"/>
          <a:ext cx="2381251" cy="88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3636-1866-4AFE-92ED-9E1CA548445B}">
  <dimension ref="A1:BO43"/>
  <sheetViews>
    <sheetView showGridLines="0" tabSelected="1" view="pageBreakPreview" zoomScale="80" zoomScaleNormal="80" zoomScaleSheetLayoutView="80" workbookViewId="0">
      <pane xSplit="5" ySplit="6" topLeftCell="F7" activePane="bottomRight" state="frozen"/>
      <selection pane="topRight" activeCell="F1" sqref="F1"/>
      <selection pane="bottomLeft" activeCell="AP19" sqref="AP19"/>
      <selection pane="bottomRight" activeCell="W22" sqref="W22"/>
    </sheetView>
  </sheetViews>
  <sheetFormatPr defaultRowHeight="15" x14ac:dyDescent="0.25"/>
  <cols>
    <col min="1" max="1" width="4.7109375" customWidth="1"/>
    <col min="2" max="2" width="8.7109375" customWidth="1"/>
    <col min="3" max="3" width="57.85546875" customWidth="1"/>
    <col min="4" max="5" width="9.85546875" customWidth="1"/>
    <col min="6" max="6" width="1.42578125" customWidth="1"/>
    <col min="7" max="7" width="18.7109375" hidden="1" customWidth="1"/>
    <col min="8" max="8" width="1.42578125" customWidth="1"/>
    <col min="9" max="11" width="15.7109375" customWidth="1"/>
    <col min="12" max="12" width="1.42578125" customWidth="1"/>
    <col min="13" max="15" width="11.5703125" customWidth="1"/>
    <col min="16" max="16" width="1.42578125" customWidth="1"/>
    <col min="17" max="17" width="15.7109375" customWidth="1"/>
    <col min="18" max="18" width="15.7109375" hidden="1" customWidth="1"/>
    <col min="19" max="19" width="11.7109375" customWidth="1"/>
    <col min="20" max="20" width="9.28515625" customWidth="1"/>
    <col min="21" max="21" width="8.5703125" customWidth="1"/>
    <col min="22" max="22" width="8.7109375" customWidth="1"/>
    <col min="23" max="23" width="9.42578125" customWidth="1"/>
    <col min="24" max="24" width="10" customWidth="1"/>
    <col min="25" max="25" width="11" customWidth="1"/>
    <col min="26" max="26" width="8.7109375" customWidth="1"/>
    <col min="27" max="27" width="9" customWidth="1"/>
    <col min="28" max="28" width="8.5703125" customWidth="1"/>
    <col min="29" max="29" width="9.42578125" customWidth="1"/>
    <col min="30" max="30" width="8.42578125" customWidth="1"/>
    <col min="31" max="31" width="9" customWidth="1"/>
    <col min="32" max="32" width="12.140625" customWidth="1"/>
    <col min="33" max="33" width="16.42578125" hidden="1" customWidth="1"/>
    <col min="34" max="34" width="12.140625" customWidth="1"/>
    <col min="35" max="35" width="16.42578125" hidden="1" customWidth="1"/>
    <col min="36" max="36" width="9.28515625" hidden="1" customWidth="1"/>
    <col min="37" max="37" width="8.5703125" hidden="1" customWidth="1"/>
    <col min="38" max="38" width="8.7109375" hidden="1" customWidth="1"/>
    <col min="39" max="39" width="9.42578125" hidden="1" customWidth="1"/>
    <col min="40" max="40" width="10" hidden="1" customWidth="1"/>
    <col min="41" max="41" width="11" hidden="1" customWidth="1"/>
    <col min="42" max="42" width="8.7109375" hidden="1" customWidth="1"/>
    <col min="43" max="43" width="9" hidden="1" customWidth="1"/>
    <col min="44" max="44" width="8.5703125" hidden="1" customWidth="1"/>
    <col min="45" max="45" width="9.42578125" hidden="1" customWidth="1"/>
    <col min="46" max="46" width="8.42578125" hidden="1" customWidth="1"/>
    <col min="47" max="48" width="9" hidden="1" customWidth="1"/>
    <col min="49" max="49" width="13" hidden="1" customWidth="1"/>
    <col min="50" max="50" width="1.42578125" customWidth="1"/>
    <col min="51" max="51" width="12.140625" style="35" hidden="1" customWidth="1"/>
    <col min="52" max="52" width="12.140625" hidden="1" customWidth="1"/>
    <col min="53" max="53" width="46.42578125" hidden="1" customWidth="1"/>
  </cols>
  <sheetData>
    <row r="1" spans="2:67" ht="18.75" customHeight="1" x14ac:dyDescent="0.25">
      <c r="AY1" s="32"/>
      <c r="AZ1" s="38" t="s">
        <v>11</v>
      </c>
      <c r="BA1" s="39" t="s">
        <v>26</v>
      </c>
    </row>
    <row r="2" spans="2:67" ht="31.5" customHeight="1" x14ac:dyDescent="0.5">
      <c r="C2" s="156" t="s">
        <v>99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21"/>
      <c r="AY2" s="33"/>
      <c r="AZ2" s="38" t="s">
        <v>27</v>
      </c>
      <c r="BA2" s="39" t="s">
        <v>28</v>
      </c>
      <c r="BB2" s="21"/>
      <c r="BC2" s="21"/>
      <c r="BD2" s="21"/>
      <c r="BE2" s="21"/>
      <c r="BF2" s="21"/>
      <c r="BG2" s="21"/>
      <c r="BH2" s="21"/>
      <c r="BI2" s="21"/>
    </row>
    <row r="3" spans="2:67" ht="18.75" customHeight="1" x14ac:dyDescent="0.5"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21"/>
      <c r="AY3" s="33"/>
      <c r="AZ3" s="40" t="s">
        <v>29</v>
      </c>
      <c r="BA3" s="41" t="s">
        <v>30</v>
      </c>
      <c r="BB3" s="21"/>
      <c r="BC3" s="21"/>
      <c r="BD3" s="21"/>
      <c r="BE3" s="21"/>
      <c r="BF3" s="21"/>
      <c r="BG3" s="21"/>
      <c r="BH3" s="21"/>
      <c r="BI3" s="21"/>
    </row>
    <row r="4" spans="2:67" ht="33.75" customHeight="1" x14ac:dyDescent="0.25">
      <c r="AI4" s="48" t="s">
        <v>98</v>
      </c>
      <c r="AW4" s="48" t="s">
        <v>49</v>
      </c>
      <c r="AY4" s="34"/>
      <c r="AZ4" s="40" t="s">
        <v>31</v>
      </c>
      <c r="BA4" s="41" t="s">
        <v>32</v>
      </c>
    </row>
    <row r="5" spans="2:67" ht="30.75" customHeight="1" x14ac:dyDescent="0.25">
      <c r="B5" s="150" t="s">
        <v>14</v>
      </c>
      <c r="C5" s="158" t="s">
        <v>0</v>
      </c>
      <c r="D5" s="160" t="s">
        <v>6</v>
      </c>
      <c r="E5" s="162" t="s">
        <v>7</v>
      </c>
      <c r="F5" s="2"/>
      <c r="G5" s="152" t="s">
        <v>8</v>
      </c>
      <c r="H5" s="5"/>
      <c r="I5" s="163" t="s">
        <v>15</v>
      </c>
      <c r="J5" s="164"/>
      <c r="K5" s="165"/>
      <c r="L5" s="5"/>
      <c r="M5" s="166" t="s">
        <v>33</v>
      </c>
      <c r="N5" s="167"/>
      <c r="O5" s="168" t="s">
        <v>10</v>
      </c>
      <c r="P5" s="55"/>
      <c r="Q5" s="170" t="s">
        <v>60</v>
      </c>
      <c r="R5" s="147"/>
      <c r="S5" s="150"/>
      <c r="T5" s="147" t="s">
        <v>61</v>
      </c>
      <c r="U5" s="148"/>
      <c r="V5" s="148"/>
      <c r="W5" s="148"/>
      <c r="X5" s="148"/>
      <c r="Y5" s="148"/>
      <c r="Z5" s="148"/>
      <c r="AA5" s="148"/>
      <c r="AB5" s="148"/>
      <c r="AC5" s="148"/>
      <c r="AD5" s="149"/>
      <c r="AE5" s="149"/>
      <c r="AF5" s="155" t="s">
        <v>16</v>
      </c>
      <c r="AG5" s="155"/>
      <c r="AH5" s="155"/>
      <c r="AI5" s="155"/>
      <c r="AJ5" s="147" t="s">
        <v>35</v>
      </c>
      <c r="AK5" s="148"/>
      <c r="AL5" s="148"/>
      <c r="AM5" s="148"/>
      <c r="AN5" s="148"/>
      <c r="AO5" s="148"/>
      <c r="AP5" s="148"/>
      <c r="AQ5" s="148"/>
      <c r="AR5" s="148"/>
      <c r="AS5" s="148"/>
      <c r="AT5" s="149"/>
      <c r="AU5" s="149"/>
      <c r="AV5" s="150" t="s">
        <v>34</v>
      </c>
      <c r="AW5" s="150" t="s">
        <v>48</v>
      </c>
      <c r="AY5" s="152" t="s">
        <v>9</v>
      </c>
    </row>
    <row r="6" spans="2:67" ht="48.75" customHeight="1" x14ac:dyDescent="0.25">
      <c r="B6" s="157"/>
      <c r="C6" s="159"/>
      <c r="D6" s="161"/>
      <c r="E6" s="162"/>
      <c r="F6" s="2"/>
      <c r="G6" s="152"/>
      <c r="H6" s="3"/>
      <c r="I6" s="6" t="s">
        <v>17</v>
      </c>
      <c r="J6" s="7" t="s">
        <v>18</v>
      </c>
      <c r="K6" s="8" t="s">
        <v>19</v>
      </c>
      <c r="L6" s="5"/>
      <c r="M6" s="6" t="s">
        <v>20</v>
      </c>
      <c r="N6" s="9" t="s">
        <v>21</v>
      </c>
      <c r="O6" s="169"/>
      <c r="P6" s="4"/>
      <c r="Q6" s="10" t="s">
        <v>22</v>
      </c>
      <c r="R6" s="11" t="s">
        <v>23</v>
      </c>
      <c r="S6" s="151"/>
      <c r="T6" s="16" t="s">
        <v>85</v>
      </c>
      <c r="U6" s="17" t="s">
        <v>86</v>
      </c>
      <c r="V6" s="17" t="s">
        <v>87</v>
      </c>
      <c r="W6" s="17" t="s">
        <v>88</v>
      </c>
      <c r="X6" s="17" t="s">
        <v>89</v>
      </c>
      <c r="Y6" s="17" t="s">
        <v>90</v>
      </c>
      <c r="Z6" s="17" t="s">
        <v>91</v>
      </c>
      <c r="AA6" s="17" t="s">
        <v>92</v>
      </c>
      <c r="AB6" s="17" t="s">
        <v>93</v>
      </c>
      <c r="AC6" s="17" t="s">
        <v>94</v>
      </c>
      <c r="AD6" s="17" t="s">
        <v>95</v>
      </c>
      <c r="AE6" s="18" t="s">
        <v>96</v>
      </c>
      <c r="AF6" s="153" t="s">
        <v>62</v>
      </c>
      <c r="AG6" s="154"/>
      <c r="AH6" s="153" t="s">
        <v>97</v>
      </c>
      <c r="AI6" s="154"/>
      <c r="AJ6" s="47" t="s">
        <v>36</v>
      </c>
      <c r="AK6" s="17" t="s">
        <v>37</v>
      </c>
      <c r="AL6" s="17" t="s">
        <v>38</v>
      </c>
      <c r="AM6" s="17" t="s">
        <v>39</v>
      </c>
      <c r="AN6" s="17" t="s">
        <v>40</v>
      </c>
      <c r="AO6" s="17" t="s">
        <v>41</v>
      </c>
      <c r="AP6" s="17" t="s">
        <v>42</v>
      </c>
      <c r="AQ6" s="17" t="s">
        <v>43</v>
      </c>
      <c r="AR6" s="17" t="s">
        <v>44</v>
      </c>
      <c r="AS6" s="17" t="s">
        <v>45</v>
      </c>
      <c r="AT6" s="17" t="s">
        <v>46</v>
      </c>
      <c r="AU6" s="18" t="s">
        <v>47</v>
      </c>
      <c r="AV6" s="151"/>
      <c r="AW6" s="151"/>
      <c r="AY6" s="152"/>
    </row>
    <row r="7" spans="2:67" ht="18.600000000000001" customHeight="1" x14ac:dyDescent="0.25">
      <c r="B7" s="88" t="s">
        <v>1</v>
      </c>
      <c r="C7" s="114" t="s">
        <v>2</v>
      </c>
      <c r="D7" s="141"/>
      <c r="E7" s="141"/>
      <c r="F7" s="1"/>
      <c r="G7" s="118"/>
      <c r="H7" s="5"/>
      <c r="I7" s="78"/>
      <c r="J7" s="80"/>
      <c r="K7" s="82"/>
      <c r="L7" s="5"/>
      <c r="M7" s="84"/>
      <c r="N7" s="86"/>
      <c r="O7" s="88"/>
      <c r="P7" s="5"/>
      <c r="Q7" s="123"/>
      <c r="R7" s="125"/>
      <c r="S7" s="130"/>
      <c r="T7" s="4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53"/>
      <c r="AG7" s="54"/>
      <c r="AH7" s="53"/>
      <c r="AI7" s="54"/>
      <c r="AJ7" s="45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3"/>
      <c r="AV7" s="25"/>
      <c r="AW7" s="25"/>
      <c r="AY7" s="127"/>
    </row>
    <row r="8" spans="2:67" ht="18.600000000000001" customHeight="1" x14ac:dyDescent="0.25">
      <c r="B8" s="89"/>
      <c r="C8" s="115"/>
      <c r="D8" s="142"/>
      <c r="E8" s="142"/>
      <c r="F8" s="1"/>
      <c r="G8" s="119"/>
      <c r="H8" s="5"/>
      <c r="I8" s="79"/>
      <c r="J8" s="81"/>
      <c r="K8" s="83"/>
      <c r="L8" s="5"/>
      <c r="M8" s="85"/>
      <c r="N8" s="87"/>
      <c r="O8" s="89"/>
      <c r="P8" s="5"/>
      <c r="Q8" s="124"/>
      <c r="R8" s="126"/>
      <c r="S8" s="131"/>
      <c r="T8" s="4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5"/>
      <c r="AF8" s="23"/>
      <c r="AG8" s="24"/>
      <c r="AH8" s="23"/>
      <c r="AI8" s="24"/>
      <c r="AJ8" s="4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5"/>
      <c r="AV8" s="22"/>
      <c r="AW8" s="22"/>
      <c r="AY8" s="127"/>
    </row>
    <row r="9" spans="2:67" ht="18.600000000000001" customHeight="1" x14ac:dyDescent="0.25">
      <c r="B9" s="106"/>
      <c r="C9" s="92" t="s">
        <v>58</v>
      </c>
      <c r="D9" s="135">
        <v>939.8</v>
      </c>
      <c r="E9" s="137">
        <v>939</v>
      </c>
      <c r="F9" s="66"/>
      <c r="G9" s="139">
        <v>581729.94532348204</v>
      </c>
      <c r="H9" s="66"/>
      <c r="I9" s="98" t="s">
        <v>59</v>
      </c>
      <c r="J9" s="100" t="s">
        <v>50</v>
      </c>
      <c r="K9" s="121" t="s">
        <v>50</v>
      </c>
      <c r="L9" s="66"/>
      <c r="M9" s="102">
        <v>45340</v>
      </c>
      <c r="N9" s="104">
        <v>46070</v>
      </c>
      <c r="O9" s="106">
        <f t="shared" ref="O9" si="0">N9-M9</f>
        <v>730</v>
      </c>
      <c r="P9" s="66"/>
      <c r="Q9" s="108">
        <v>0</v>
      </c>
      <c r="R9" s="110">
        <f>Q9*G9</f>
        <v>0</v>
      </c>
      <c r="S9" s="67" t="s">
        <v>24</v>
      </c>
      <c r="T9" s="51"/>
      <c r="U9" s="51"/>
      <c r="V9" s="51"/>
      <c r="W9" s="51"/>
      <c r="X9" s="51"/>
      <c r="Y9" s="51"/>
      <c r="Z9" s="51"/>
      <c r="AA9" s="51"/>
      <c r="AB9" s="51"/>
      <c r="AC9" s="51"/>
      <c r="AD9" s="51">
        <v>0.1</v>
      </c>
      <c r="AE9" s="51">
        <v>0.1</v>
      </c>
      <c r="AF9" s="19">
        <f t="shared" ref="AF9" si="1">SUM(T9:AE9)</f>
        <v>0.2</v>
      </c>
      <c r="AG9" s="20">
        <f>AF9*(G9)</f>
        <v>116345.98906469642</v>
      </c>
      <c r="AH9" s="19">
        <f>Q9+SUM(T9:AE9)</f>
        <v>0.2</v>
      </c>
      <c r="AI9" s="20">
        <f>G9*AH9</f>
        <v>116345.98906469642</v>
      </c>
      <c r="AJ9" s="50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2">
        <v>0</v>
      </c>
      <c r="AV9" s="59">
        <v>0</v>
      </c>
      <c r="AW9" s="143">
        <v>1</v>
      </c>
      <c r="AX9" s="58">
        <v>287682.19</v>
      </c>
      <c r="AY9" s="145" t="s">
        <v>53</v>
      </c>
      <c r="AZ9" s="62"/>
      <c r="BA9" s="62"/>
      <c r="BB9" s="62"/>
      <c r="BC9" s="62"/>
      <c r="BD9" s="62"/>
      <c r="BE9" s="62"/>
      <c r="BF9" s="62"/>
      <c r="BG9" s="62"/>
      <c r="BH9" s="62"/>
      <c r="BI9" s="62"/>
      <c r="BL9" s="62"/>
      <c r="BM9" s="62"/>
      <c r="BO9" s="63"/>
    </row>
    <row r="10" spans="2:67" s="31" customFormat="1" ht="18.600000000000001" customHeight="1" x14ac:dyDescent="0.25">
      <c r="B10" s="106"/>
      <c r="C10" s="113"/>
      <c r="D10" s="136"/>
      <c r="E10" s="138"/>
      <c r="F10" s="66"/>
      <c r="G10" s="140"/>
      <c r="H10" s="66"/>
      <c r="I10" s="120"/>
      <c r="J10" s="100"/>
      <c r="K10" s="122"/>
      <c r="L10" s="66"/>
      <c r="M10" s="102"/>
      <c r="N10" s="104"/>
      <c r="O10" s="106"/>
      <c r="P10" s="66"/>
      <c r="Q10" s="108"/>
      <c r="R10" s="110"/>
      <c r="S10" s="68" t="s">
        <v>25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9">
        <f>SUM(T10:AE10)</f>
        <v>0</v>
      </c>
      <c r="AG10" s="30">
        <f>AF10*(G9)</f>
        <v>0</v>
      </c>
      <c r="AH10" s="29">
        <f>Q9+SUM(T10:AE10)</f>
        <v>0</v>
      </c>
      <c r="AI10" s="30">
        <f>AI9*AH10</f>
        <v>0</v>
      </c>
      <c r="AJ10" s="49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8">
        <v>0.02</v>
      </c>
      <c r="AV10" s="60">
        <v>5753.6437999999998</v>
      </c>
      <c r="AW10" s="144">
        <v>0.60000000000000009</v>
      </c>
      <c r="AX10" s="61">
        <v>172609.31400000001</v>
      </c>
      <c r="AY10" s="146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/>
      <c r="BK10"/>
      <c r="BL10" s="64"/>
      <c r="BM10" s="64"/>
      <c r="BO10" s="65"/>
    </row>
    <row r="11" spans="2:67" s="31" customFormat="1" ht="15" customHeight="1" x14ac:dyDescent="0.25">
      <c r="B11" s="69"/>
      <c r="C11" s="92" t="s">
        <v>63</v>
      </c>
      <c r="D11" s="135">
        <v>934</v>
      </c>
      <c r="E11" s="137">
        <v>934.3</v>
      </c>
      <c r="F11" s="66"/>
      <c r="G11" s="139">
        <v>218148.729496285</v>
      </c>
      <c r="H11" s="66"/>
      <c r="I11" s="98" t="s">
        <v>59</v>
      </c>
      <c r="J11" s="100" t="s">
        <v>50</v>
      </c>
      <c r="K11" s="121" t="s">
        <v>50</v>
      </c>
      <c r="L11" s="66"/>
      <c r="M11" s="102">
        <v>45340</v>
      </c>
      <c r="N11" s="104">
        <v>45705</v>
      </c>
      <c r="O11" s="106">
        <f t="shared" ref="O11" si="2">N11-M11</f>
        <v>365</v>
      </c>
      <c r="P11" s="70"/>
      <c r="Q11" s="108">
        <v>0</v>
      </c>
      <c r="R11" s="110">
        <f>Q11*G11</f>
        <v>0</v>
      </c>
      <c r="S11" s="67" t="s">
        <v>24</v>
      </c>
      <c r="T11" s="51"/>
      <c r="U11" s="51"/>
      <c r="V11" s="51"/>
      <c r="W11" s="51"/>
      <c r="X11" s="51"/>
      <c r="Y11" s="51"/>
      <c r="Z11" s="51"/>
      <c r="AA11" s="51"/>
      <c r="AB11" s="51"/>
      <c r="AC11" s="51">
        <v>0.3</v>
      </c>
      <c r="AD11" s="51">
        <v>0.3</v>
      </c>
      <c r="AE11" s="51">
        <v>0.4</v>
      </c>
      <c r="AF11" s="19">
        <f t="shared" ref="AF11" si="3">SUM(T11:AE11)</f>
        <v>1</v>
      </c>
      <c r="AG11" s="20">
        <f>AF11*(G11)</f>
        <v>218148.729496285</v>
      </c>
      <c r="AH11" s="19">
        <f>Q11+SUM(T11:AE11)</f>
        <v>1</v>
      </c>
      <c r="AI11" s="20">
        <f>G11*AH11</f>
        <v>218148.729496285</v>
      </c>
      <c r="BJ11"/>
      <c r="BK11"/>
    </row>
    <row r="12" spans="2:67" s="31" customFormat="1" ht="15" customHeight="1" x14ac:dyDescent="0.25">
      <c r="B12" s="69"/>
      <c r="C12" s="113"/>
      <c r="D12" s="136"/>
      <c r="E12" s="138"/>
      <c r="F12" s="66"/>
      <c r="G12" s="140"/>
      <c r="H12" s="66"/>
      <c r="I12" s="120"/>
      <c r="J12" s="100"/>
      <c r="K12" s="122"/>
      <c r="L12" s="66"/>
      <c r="M12" s="102"/>
      <c r="N12" s="104"/>
      <c r="O12" s="106"/>
      <c r="P12" s="70"/>
      <c r="Q12" s="108"/>
      <c r="R12" s="110"/>
      <c r="S12" s="68" t="s">
        <v>25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9">
        <f>SUM(T12:AE12)</f>
        <v>0</v>
      </c>
      <c r="AG12" s="30">
        <f>AF12*(G11)</f>
        <v>0</v>
      </c>
      <c r="AH12" s="29">
        <f>Q11+SUM(T12:AE12)</f>
        <v>0</v>
      </c>
      <c r="AI12" s="30">
        <f>AI11*AH12</f>
        <v>0</v>
      </c>
      <c r="BJ12"/>
      <c r="BK12"/>
    </row>
    <row r="13" spans="2:67" ht="18.600000000000001" customHeight="1" x14ac:dyDescent="0.25">
      <c r="B13" s="88" t="s">
        <v>71</v>
      </c>
      <c r="C13" s="114" t="s">
        <v>72</v>
      </c>
      <c r="D13" s="116"/>
      <c r="E13" s="116"/>
      <c r="F13" s="1"/>
      <c r="G13" s="118"/>
      <c r="H13" s="5"/>
      <c r="I13" s="78"/>
      <c r="J13" s="80"/>
      <c r="K13" s="82"/>
      <c r="L13" s="5"/>
      <c r="M13" s="84"/>
      <c r="N13" s="86"/>
      <c r="O13" s="88"/>
      <c r="P13" s="55"/>
      <c r="Q13" s="123"/>
      <c r="R13" s="125"/>
      <c r="S13" s="130"/>
      <c r="T13" s="4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3"/>
      <c r="AF13" s="53"/>
      <c r="AG13" s="54"/>
      <c r="AH13" s="53"/>
      <c r="AI13" s="54"/>
      <c r="AJ13" s="45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3"/>
      <c r="AV13" s="25"/>
      <c r="AW13" s="25"/>
      <c r="AY13" s="127"/>
    </row>
    <row r="14" spans="2:67" ht="18.600000000000001" customHeight="1" x14ac:dyDescent="0.25">
      <c r="B14" s="89"/>
      <c r="C14" s="115"/>
      <c r="D14" s="117"/>
      <c r="E14" s="117"/>
      <c r="F14" s="1"/>
      <c r="G14" s="119"/>
      <c r="H14" s="5"/>
      <c r="I14" s="79"/>
      <c r="J14" s="81"/>
      <c r="K14" s="83"/>
      <c r="L14" s="5"/>
      <c r="M14" s="85"/>
      <c r="N14" s="87"/>
      <c r="O14" s="89"/>
      <c r="P14" s="55"/>
      <c r="Q14" s="124"/>
      <c r="R14" s="126"/>
      <c r="S14" s="131"/>
      <c r="T14" s="4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5"/>
      <c r="AF14" s="23"/>
      <c r="AG14" s="24"/>
      <c r="AH14" s="23"/>
      <c r="AI14" s="24"/>
      <c r="AJ14" s="4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22"/>
      <c r="AW14" s="22"/>
      <c r="AY14" s="127"/>
    </row>
    <row r="15" spans="2:67" s="31" customFormat="1" ht="15" customHeight="1" x14ac:dyDescent="0.25">
      <c r="B15" s="90"/>
      <c r="C15" s="128" t="s">
        <v>64</v>
      </c>
      <c r="D15" s="94" t="s">
        <v>65</v>
      </c>
      <c r="E15" s="94"/>
      <c r="F15" s="66"/>
      <c r="G15" s="96">
        <v>5535174.2200000007</v>
      </c>
      <c r="H15" s="66"/>
      <c r="I15" s="98" t="s">
        <v>51</v>
      </c>
      <c r="J15" s="100" t="s">
        <v>52</v>
      </c>
      <c r="K15" s="121" t="s">
        <v>13</v>
      </c>
      <c r="L15" s="66"/>
      <c r="M15" s="102">
        <v>44901</v>
      </c>
      <c r="N15" s="104">
        <v>45279</v>
      </c>
      <c r="O15" s="106">
        <v>378</v>
      </c>
      <c r="P15" s="70"/>
      <c r="Q15" s="108">
        <v>1</v>
      </c>
      <c r="R15" s="110">
        <f>Q15*G15</f>
        <v>5535174.2200000007</v>
      </c>
      <c r="S15" s="67" t="s">
        <v>24</v>
      </c>
      <c r="T15" s="51">
        <v>0.2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19">
        <f t="shared" ref="AF15" si="4">SUM(T15:AE15)</f>
        <v>0.2</v>
      </c>
      <c r="AG15" s="20">
        <f>AF15*(G15)</f>
        <v>1107034.8440000003</v>
      </c>
      <c r="AH15" s="19">
        <f>0.8+SUM(T15:AE15)</f>
        <v>1</v>
      </c>
      <c r="AI15" s="20">
        <f>G15*AH15</f>
        <v>5535174.2200000007</v>
      </c>
      <c r="BJ15"/>
      <c r="BK15"/>
    </row>
    <row r="16" spans="2:67" s="31" customFormat="1" ht="15" customHeight="1" x14ac:dyDescent="0.25">
      <c r="B16" s="134"/>
      <c r="C16" s="128"/>
      <c r="D16" s="94"/>
      <c r="E16" s="94"/>
      <c r="F16" s="66"/>
      <c r="G16" s="96"/>
      <c r="H16" s="66"/>
      <c r="I16" s="120"/>
      <c r="J16" s="100"/>
      <c r="K16" s="122"/>
      <c r="L16" s="66"/>
      <c r="M16" s="102"/>
      <c r="N16" s="104"/>
      <c r="O16" s="106"/>
      <c r="P16" s="70"/>
      <c r="Q16" s="108"/>
      <c r="R16" s="110"/>
      <c r="S16" s="68" t="s">
        <v>25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9">
        <f>SUM(T16:AE16)</f>
        <v>0</v>
      </c>
      <c r="AG16" s="30">
        <f>AF16*(G15)</f>
        <v>0</v>
      </c>
      <c r="AH16" s="29">
        <f>Q15+SUM(T16:AE16)</f>
        <v>1</v>
      </c>
      <c r="AI16" s="30">
        <f>AI15*AH16</f>
        <v>5535174.2200000007</v>
      </c>
      <c r="BJ16"/>
      <c r="BK16"/>
    </row>
    <row r="17" spans="1:63" s="31" customFormat="1" ht="15" customHeight="1" x14ac:dyDescent="0.25">
      <c r="B17" s="134"/>
      <c r="C17" s="128" t="s">
        <v>66</v>
      </c>
      <c r="D17" s="94" t="s">
        <v>67</v>
      </c>
      <c r="E17" s="94"/>
      <c r="F17" s="66"/>
      <c r="G17" s="96">
        <v>5535174.2199999997</v>
      </c>
      <c r="H17" s="66"/>
      <c r="I17" s="98" t="s">
        <v>68</v>
      </c>
      <c r="J17" s="100" t="s">
        <v>50</v>
      </c>
      <c r="K17" s="121" t="s">
        <v>50</v>
      </c>
      <c r="L17" s="66"/>
      <c r="M17" s="102">
        <v>45340</v>
      </c>
      <c r="N17" s="104">
        <v>46070</v>
      </c>
      <c r="O17" s="106">
        <v>730</v>
      </c>
      <c r="P17" s="70"/>
      <c r="Q17" s="108">
        <v>0</v>
      </c>
      <c r="R17" s="110">
        <f t="shared" ref="R17" si="5">Q17*G17</f>
        <v>0</v>
      </c>
      <c r="S17" s="67" t="s">
        <v>24</v>
      </c>
      <c r="T17" s="51"/>
      <c r="U17" s="51"/>
      <c r="V17" s="51"/>
      <c r="W17" s="51"/>
      <c r="X17" s="51"/>
      <c r="Y17" s="51"/>
      <c r="Z17" s="51"/>
      <c r="AA17" s="51"/>
      <c r="AB17" s="51">
        <v>0.12</v>
      </c>
      <c r="AC17" s="51">
        <v>0.15</v>
      </c>
      <c r="AD17" s="51">
        <v>0.17</v>
      </c>
      <c r="AE17" s="51">
        <v>0.18</v>
      </c>
      <c r="AF17" s="19">
        <f t="shared" ref="AF17:AF20" si="6">SUM(T17:AE17)</f>
        <v>0.62000000000000011</v>
      </c>
      <c r="AG17" s="20">
        <f>AF17*(G17)</f>
        <v>3431808.0164000005</v>
      </c>
      <c r="AH17" s="19">
        <f>SUM(T17:AE17)</f>
        <v>0.62000000000000011</v>
      </c>
      <c r="AI17" s="20">
        <f>G17*AH17</f>
        <v>3431808.0164000005</v>
      </c>
      <c r="BJ17"/>
      <c r="BK17"/>
    </row>
    <row r="18" spans="1:63" s="31" customFormat="1" ht="15" customHeight="1" x14ac:dyDescent="0.25">
      <c r="B18" s="134"/>
      <c r="C18" s="128"/>
      <c r="D18" s="94"/>
      <c r="E18" s="94"/>
      <c r="F18" s="66"/>
      <c r="G18" s="96"/>
      <c r="H18" s="66"/>
      <c r="I18" s="120"/>
      <c r="J18" s="100"/>
      <c r="K18" s="122"/>
      <c r="L18" s="66"/>
      <c r="M18" s="102"/>
      <c r="N18" s="104"/>
      <c r="O18" s="106"/>
      <c r="P18" s="70"/>
      <c r="Q18" s="108"/>
      <c r="R18" s="110"/>
      <c r="S18" s="68" t="s">
        <v>25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9">
        <f t="shared" si="6"/>
        <v>0</v>
      </c>
      <c r="AG18" s="30">
        <f>AF18*(G17)</f>
        <v>0</v>
      </c>
      <c r="AH18" s="29">
        <f>Q17+SUM(T18:AE18)</f>
        <v>0</v>
      </c>
      <c r="AI18" s="30">
        <f t="shared" ref="AI18" si="7">AI17*AH18</f>
        <v>0</v>
      </c>
      <c r="BJ18"/>
      <c r="BK18"/>
    </row>
    <row r="19" spans="1:63" s="31" customFormat="1" ht="15" customHeight="1" x14ac:dyDescent="0.25">
      <c r="B19" s="134"/>
      <c r="C19" s="128" t="s">
        <v>69</v>
      </c>
      <c r="D19" s="94" t="s">
        <v>70</v>
      </c>
      <c r="E19" s="94"/>
      <c r="F19" s="66"/>
      <c r="G19" s="96">
        <v>5535174.2200000007</v>
      </c>
      <c r="H19" s="66"/>
      <c r="I19" s="98" t="s">
        <v>68</v>
      </c>
      <c r="J19" s="100" t="s">
        <v>50</v>
      </c>
      <c r="K19" s="121" t="s">
        <v>50</v>
      </c>
      <c r="L19" s="66"/>
      <c r="M19" s="102">
        <v>45340</v>
      </c>
      <c r="N19" s="104">
        <v>46070</v>
      </c>
      <c r="O19" s="106">
        <v>730</v>
      </c>
      <c r="P19" s="70"/>
      <c r="Q19" s="108">
        <v>0</v>
      </c>
      <c r="R19" s="110">
        <f t="shared" ref="R19" si="8">Q19*G19</f>
        <v>0</v>
      </c>
      <c r="S19" s="67" t="s">
        <v>24</v>
      </c>
      <c r="T19" s="51"/>
      <c r="U19" s="51"/>
      <c r="V19" s="51"/>
      <c r="W19" s="51"/>
      <c r="X19" s="51"/>
      <c r="Y19" s="51"/>
      <c r="Z19" s="51"/>
      <c r="AA19" s="51"/>
      <c r="AB19" s="51">
        <v>0.15</v>
      </c>
      <c r="AC19" s="51">
        <v>0.18</v>
      </c>
      <c r="AD19" s="51">
        <v>0.2</v>
      </c>
      <c r="AE19" s="51">
        <v>0.23</v>
      </c>
      <c r="AF19" s="19">
        <f t="shared" si="6"/>
        <v>0.76</v>
      </c>
      <c r="AG19" s="20">
        <f>AF19*(G19)</f>
        <v>4206732.4072000002</v>
      </c>
      <c r="AH19" s="19">
        <f>SUM(T19:AE19)</f>
        <v>0.76</v>
      </c>
      <c r="AI19" s="20">
        <f>G19*AH19</f>
        <v>4206732.4072000002</v>
      </c>
      <c r="BJ19"/>
      <c r="BK19"/>
    </row>
    <row r="20" spans="1:63" s="31" customFormat="1" ht="15" customHeight="1" x14ac:dyDescent="0.25">
      <c r="B20" s="91"/>
      <c r="C20" s="128"/>
      <c r="D20" s="94"/>
      <c r="E20" s="94"/>
      <c r="F20" s="66"/>
      <c r="G20" s="96"/>
      <c r="H20" s="66"/>
      <c r="I20" s="120"/>
      <c r="J20" s="100"/>
      <c r="K20" s="122"/>
      <c r="L20" s="66"/>
      <c r="M20" s="102"/>
      <c r="N20" s="104"/>
      <c r="O20" s="106"/>
      <c r="P20" s="70"/>
      <c r="Q20" s="108"/>
      <c r="R20" s="110"/>
      <c r="S20" s="68" t="s">
        <v>25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9">
        <f t="shared" si="6"/>
        <v>0</v>
      </c>
      <c r="AG20" s="30">
        <f>AF20*(G19)</f>
        <v>0</v>
      </c>
      <c r="AH20" s="29">
        <f>Q19+SUM(T20:AE20)</f>
        <v>0</v>
      </c>
      <c r="AI20" s="30">
        <f t="shared" ref="AI20" si="9">AI19*AH20</f>
        <v>0</v>
      </c>
      <c r="BJ20"/>
      <c r="BK20"/>
    </row>
    <row r="21" spans="1:63" ht="18.600000000000001" customHeight="1" x14ac:dyDescent="0.25">
      <c r="A21" s="62"/>
      <c r="B21" s="88" t="s">
        <v>54</v>
      </c>
      <c r="C21" s="114" t="s">
        <v>55</v>
      </c>
      <c r="D21" s="116"/>
      <c r="E21" s="116"/>
      <c r="F21" s="1"/>
      <c r="G21" s="118"/>
      <c r="H21" s="5"/>
      <c r="I21" s="78"/>
      <c r="J21" s="80"/>
      <c r="K21" s="82"/>
      <c r="L21" s="5"/>
      <c r="M21" s="84"/>
      <c r="N21" s="86"/>
      <c r="O21" s="88"/>
      <c r="P21" s="55"/>
      <c r="Q21" s="123"/>
      <c r="R21" s="125"/>
      <c r="S21" s="130"/>
      <c r="T21" s="4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3"/>
      <c r="AF21" s="53"/>
      <c r="AG21" s="54"/>
      <c r="AH21" s="53"/>
      <c r="AI21" s="54"/>
      <c r="AJ21" s="45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3"/>
      <c r="AV21" s="25"/>
      <c r="AW21" s="25"/>
      <c r="AY21" s="127"/>
    </row>
    <row r="22" spans="1:63" ht="18.600000000000001" customHeight="1" x14ac:dyDescent="0.25">
      <c r="B22" s="89"/>
      <c r="C22" s="115"/>
      <c r="D22" s="117"/>
      <c r="E22" s="117"/>
      <c r="F22" s="1"/>
      <c r="G22" s="119"/>
      <c r="H22" s="5"/>
      <c r="I22" s="79"/>
      <c r="J22" s="81"/>
      <c r="K22" s="83"/>
      <c r="L22" s="5"/>
      <c r="M22" s="85"/>
      <c r="N22" s="87"/>
      <c r="O22" s="89"/>
      <c r="P22" s="55"/>
      <c r="Q22" s="124"/>
      <c r="R22" s="126"/>
      <c r="S22" s="131"/>
      <c r="T22" s="4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/>
      <c r="AF22" s="23"/>
      <c r="AG22" s="24"/>
      <c r="AH22" s="23"/>
      <c r="AI22" s="24"/>
      <c r="AJ22" s="4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5"/>
      <c r="AV22" s="22"/>
      <c r="AW22" s="22"/>
      <c r="AY22" s="127"/>
    </row>
    <row r="23" spans="1:63" ht="15" customHeight="1" x14ac:dyDescent="0.25">
      <c r="B23" s="106" t="s">
        <v>73</v>
      </c>
      <c r="C23" s="128" t="s">
        <v>74</v>
      </c>
      <c r="D23" s="94">
        <v>22.3</v>
      </c>
      <c r="E23" s="94">
        <v>41</v>
      </c>
      <c r="F23" s="66"/>
      <c r="G23" s="96">
        <v>26372375.359999999</v>
      </c>
      <c r="H23" s="66"/>
      <c r="I23" s="98" t="s">
        <v>51</v>
      </c>
      <c r="J23" s="100" t="s">
        <v>52</v>
      </c>
      <c r="K23" s="121" t="s">
        <v>12</v>
      </c>
      <c r="L23" s="66"/>
      <c r="M23" s="102">
        <v>44791</v>
      </c>
      <c r="N23" s="104">
        <v>45705</v>
      </c>
      <c r="O23" s="106">
        <f t="shared" ref="O23" si="10">N23-M23</f>
        <v>914</v>
      </c>
      <c r="P23" s="70"/>
      <c r="Q23" s="108">
        <v>0.29413179668698619</v>
      </c>
      <c r="R23" s="110">
        <f>Q23*G23</f>
        <v>7756954.1475404045</v>
      </c>
      <c r="S23" s="67" t="s">
        <v>24</v>
      </c>
      <c r="T23" s="51">
        <f>4867281.86/71133500.52</f>
        <v>6.8424607595847314E-2</v>
      </c>
      <c r="U23" s="51">
        <f>5171690.84/71133500.52</f>
        <v>7.2704011502230506E-2</v>
      </c>
      <c r="V23" s="51">
        <f>3813467.65/71133500.52</f>
        <v>5.3610009659623037E-2</v>
      </c>
      <c r="W23" s="51">
        <f>4404542.3/71133500.52</f>
        <v>6.1919380710943821E-2</v>
      </c>
      <c r="X23" s="51">
        <f>4738228.5/71133500.52</f>
        <v>6.6610365936761298E-2</v>
      </c>
      <c r="Y23" s="51">
        <f>6038963.17/71133500.52</f>
        <v>8.4896189922525692E-2</v>
      </c>
      <c r="Z23" s="51">
        <f>3656006.92/71133500.52</f>
        <v>5.1396415096598147E-2</v>
      </c>
      <c r="AA23" s="51"/>
      <c r="AB23" s="51"/>
      <c r="AC23" s="51"/>
      <c r="AD23" s="51"/>
      <c r="AE23" s="51"/>
      <c r="AF23" s="19">
        <f>SUM(T23:AE23)</f>
        <v>0.45956098042452981</v>
      </c>
      <c r="AG23" s="20">
        <f>AF23*(G23)</f>
        <v>12119714.676565312</v>
      </c>
      <c r="AH23" s="19">
        <v>1</v>
      </c>
      <c r="AI23" s="20">
        <f>G23*AH23</f>
        <v>26372375.359999999</v>
      </c>
      <c r="AY23"/>
    </row>
    <row r="24" spans="1:63" s="31" customFormat="1" ht="15" customHeight="1" x14ac:dyDescent="0.25">
      <c r="B24" s="106"/>
      <c r="C24" s="128"/>
      <c r="D24" s="94"/>
      <c r="E24" s="94"/>
      <c r="F24" s="66"/>
      <c r="G24" s="96"/>
      <c r="H24" s="66"/>
      <c r="I24" s="120"/>
      <c r="J24" s="100"/>
      <c r="K24" s="122"/>
      <c r="L24" s="66"/>
      <c r="M24" s="102"/>
      <c r="N24" s="104"/>
      <c r="O24" s="106"/>
      <c r="P24" s="70"/>
      <c r="Q24" s="108">
        <v>0.29413179668698619</v>
      </c>
      <c r="R24" s="110"/>
      <c r="S24" s="68" t="s">
        <v>25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9">
        <f>SUM(T24:AE24)</f>
        <v>0</v>
      </c>
      <c r="AG24" s="30">
        <f>AF24*(G23)</f>
        <v>0</v>
      </c>
      <c r="AH24" s="29">
        <f>Q23+SUM(T24:AE24)</f>
        <v>0.29413179668698619</v>
      </c>
      <c r="AI24" s="30">
        <f>AI23*AH24</f>
        <v>7756954.1475404045</v>
      </c>
      <c r="BJ24"/>
      <c r="BK24"/>
    </row>
    <row r="25" spans="1:63" ht="15" customHeight="1" x14ac:dyDescent="0.25">
      <c r="B25" s="106" t="s">
        <v>75</v>
      </c>
      <c r="C25" s="128" t="s">
        <v>76</v>
      </c>
      <c r="D25" s="94">
        <v>35.36</v>
      </c>
      <c r="E25" s="94">
        <v>41</v>
      </c>
      <c r="F25" s="66"/>
      <c r="G25" s="96">
        <v>10647467.029999999</v>
      </c>
      <c r="H25" s="66"/>
      <c r="I25" s="98" t="s">
        <v>51</v>
      </c>
      <c r="J25" s="100" t="s">
        <v>52</v>
      </c>
      <c r="K25" s="121" t="s">
        <v>12</v>
      </c>
      <c r="L25" s="66"/>
      <c r="M25" s="102">
        <v>44913</v>
      </c>
      <c r="N25" s="104">
        <v>45705</v>
      </c>
      <c r="O25" s="106">
        <f t="shared" ref="O25" si="11">N25-M25</f>
        <v>792</v>
      </c>
      <c r="P25" s="70"/>
      <c r="Q25" s="108">
        <v>0.33522540898952208</v>
      </c>
      <c r="R25" s="110">
        <f>Q25*G25</f>
        <v>3569301.4898342015</v>
      </c>
      <c r="S25" s="67" t="s">
        <v>24</v>
      </c>
      <c r="T25" s="51">
        <f>1404956.58/28719127.14</f>
        <v>4.8920587772431863E-2</v>
      </c>
      <c r="U25" s="51">
        <f>1363576.39/28719127.14</f>
        <v>4.7479729566739189E-2</v>
      </c>
      <c r="V25" s="51">
        <f>1877418.95/28719127.14</f>
        <v>6.53717273804304E-2</v>
      </c>
      <c r="W25" s="51">
        <f>1469670.03/28719127.14</f>
        <v>5.1173910085625253E-2</v>
      </c>
      <c r="X25" s="51"/>
      <c r="Y25" s="51"/>
      <c r="Z25" s="51"/>
      <c r="AA25" s="51"/>
      <c r="AB25" s="51"/>
      <c r="AC25" s="51"/>
      <c r="AD25" s="51"/>
      <c r="AE25" s="51"/>
      <c r="AF25" s="19">
        <f t="shared" ref="AF25:AF34" si="12">SUM(T25:AE25)</f>
        <v>0.21294595480522668</v>
      </c>
      <c r="AG25" s="20">
        <f>AF25*(G25)</f>
        <v>2267335.0329605211</v>
      </c>
      <c r="AH25" s="19">
        <v>1</v>
      </c>
      <c r="AI25" s="20">
        <f>G25*AH25</f>
        <v>10647467.029999999</v>
      </c>
      <c r="AY25"/>
    </row>
    <row r="26" spans="1:63" s="31" customFormat="1" ht="15" customHeight="1" x14ac:dyDescent="0.25">
      <c r="B26" s="106"/>
      <c r="C26" s="128"/>
      <c r="D26" s="94"/>
      <c r="E26" s="94"/>
      <c r="F26" s="66"/>
      <c r="G26" s="96"/>
      <c r="H26" s="66"/>
      <c r="I26" s="120"/>
      <c r="J26" s="100"/>
      <c r="K26" s="122"/>
      <c r="L26" s="66"/>
      <c r="M26" s="102"/>
      <c r="N26" s="104"/>
      <c r="O26" s="106"/>
      <c r="P26" s="70"/>
      <c r="Q26" s="108">
        <v>0.33522540898952208</v>
      </c>
      <c r="R26" s="110"/>
      <c r="S26" s="68" t="s">
        <v>25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9">
        <f>SUM(T26:AE26)</f>
        <v>0</v>
      </c>
      <c r="AG26" s="30">
        <f>AF26*(G25)</f>
        <v>0</v>
      </c>
      <c r="AH26" s="29">
        <f>Q25+SUM(T26:AE26)</f>
        <v>0.33522540898952208</v>
      </c>
      <c r="AI26" s="30">
        <f t="shared" ref="AI26" si="13">AI25*AH26</f>
        <v>3569301.4898342015</v>
      </c>
      <c r="BJ26"/>
      <c r="BK26"/>
    </row>
    <row r="27" spans="1:63" ht="15" customHeight="1" x14ac:dyDescent="0.25">
      <c r="B27" s="106" t="s">
        <v>77</v>
      </c>
      <c r="C27" s="128" t="s">
        <v>78</v>
      </c>
      <c r="D27" s="94">
        <v>48.72</v>
      </c>
      <c r="E27" s="94">
        <v>50.37</v>
      </c>
      <c r="F27" s="66"/>
      <c r="G27" s="96">
        <v>3920674.95</v>
      </c>
      <c r="H27" s="66"/>
      <c r="I27" s="98" t="s">
        <v>51</v>
      </c>
      <c r="J27" s="100" t="s">
        <v>52</v>
      </c>
      <c r="K27" s="121" t="s">
        <v>13</v>
      </c>
      <c r="L27" s="66"/>
      <c r="M27" s="102">
        <v>44975</v>
      </c>
      <c r="N27" s="104">
        <v>45705</v>
      </c>
      <c r="O27" s="106">
        <f t="shared" ref="O27" si="14">N27-M27</f>
        <v>730</v>
      </c>
      <c r="P27" s="70"/>
      <c r="Q27" s="108">
        <v>1.8499999999999999E-2</v>
      </c>
      <c r="R27" s="110">
        <f>Q27*G27</f>
        <v>72532.486575000003</v>
      </c>
      <c r="S27" s="67" t="s">
        <v>24</v>
      </c>
      <c r="T27" s="51">
        <f>1633657.39/10575131.85</f>
        <v>0.15448104223873105</v>
      </c>
      <c r="U27" s="51">
        <f>1838210.8/10575131.85</f>
        <v>0.1738239131269082</v>
      </c>
      <c r="V27" s="51">
        <f>1551132.95/10575131.85</f>
        <v>0.14667740998425471</v>
      </c>
      <c r="W27" s="51">
        <f>212252.99/10575131.85</f>
        <v>2.0070954481763742E-2</v>
      </c>
      <c r="X27" s="51"/>
      <c r="Y27" s="51"/>
      <c r="Z27" s="51"/>
      <c r="AA27" s="51"/>
      <c r="AB27" s="51"/>
      <c r="AC27" s="51"/>
      <c r="AD27" s="51"/>
      <c r="AE27" s="51"/>
      <c r="AF27" s="19">
        <f t="shared" si="12"/>
        <v>0.49505331983165768</v>
      </c>
      <c r="AG27" s="20">
        <f>AF27*(G27)</f>
        <v>1940943.1499783185</v>
      </c>
      <c r="AH27" s="19">
        <v>1</v>
      </c>
      <c r="AI27" s="20">
        <f>G27*AH27</f>
        <v>3920674.95</v>
      </c>
      <c r="AY27"/>
    </row>
    <row r="28" spans="1:63" s="31" customFormat="1" ht="15" customHeight="1" x14ac:dyDescent="0.25">
      <c r="B28" s="106"/>
      <c r="C28" s="128"/>
      <c r="D28" s="94"/>
      <c r="E28" s="94"/>
      <c r="F28" s="66"/>
      <c r="G28" s="96"/>
      <c r="H28" s="66"/>
      <c r="I28" s="120"/>
      <c r="J28" s="100"/>
      <c r="K28" s="122"/>
      <c r="L28" s="66"/>
      <c r="M28" s="102"/>
      <c r="N28" s="104"/>
      <c r="O28" s="106"/>
      <c r="P28" s="70"/>
      <c r="Q28" s="108">
        <v>1.8499999999999999E-2</v>
      </c>
      <c r="R28" s="110"/>
      <c r="S28" s="68" t="s">
        <v>25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9">
        <f t="shared" si="12"/>
        <v>0</v>
      </c>
      <c r="AG28" s="30">
        <f>AF28*(G27)</f>
        <v>0</v>
      </c>
      <c r="AH28" s="29">
        <f>Q27+SUM(T28:AE28)</f>
        <v>1.8499999999999999E-2</v>
      </c>
      <c r="AI28" s="30">
        <f t="shared" ref="AI28" si="15">AI27*AH28</f>
        <v>72532.486575000003</v>
      </c>
      <c r="BJ28"/>
      <c r="BK28"/>
    </row>
    <row r="29" spans="1:63" ht="15" customHeight="1" x14ac:dyDescent="0.25">
      <c r="B29" s="106" t="s">
        <v>79</v>
      </c>
      <c r="C29" s="128" t="s">
        <v>80</v>
      </c>
      <c r="D29" s="94">
        <v>48.81</v>
      </c>
      <c r="E29" s="94">
        <v>58.86</v>
      </c>
      <c r="F29" s="66"/>
      <c r="G29" s="96">
        <v>26424999.699999999</v>
      </c>
      <c r="H29" s="66"/>
      <c r="I29" s="98" t="s">
        <v>51</v>
      </c>
      <c r="J29" s="100" t="s">
        <v>52</v>
      </c>
      <c r="K29" s="121" t="s">
        <v>13</v>
      </c>
      <c r="L29" s="66"/>
      <c r="M29" s="102">
        <v>44975</v>
      </c>
      <c r="N29" s="104">
        <v>45705</v>
      </c>
      <c r="O29" s="106">
        <f t="shared" ref="O29" si="16">N29-M29</f>
        <v>730</v>
      </c>
      <c r="P29" s="70"/>
      <c r="Q29" s="108">
        <v>7.1773146011688452E-2</v>
      </c>
      <c r="R29" s="110">
        <f>Q29*G29</f>
        <v>1896605.3618269234</v>
      </c>
      <c r="S29" s="67" t="s">
        <v>24</v>
      </c>
      <c r="T29" s="51">
        <f>1840044.98/71275442.75</f>
        <v>2.5815974043879229E-2</v>
      </c>
      <c r="U29" s="51">
        <f>3284657.05/71275442.75</f>
        <v>4.6083993634680014E-2</v>
      </c>
      <c r="V29" s="51">
        <f>3655353.12/71275442.75</f>
        <v>5.1284888300465875E-2</v>
      </c>
      <c r="W29" s="51">
        <f>6334363.83/71275442.75</f>
        <v>8.8871616725243005E-2</v>
      </c>
      <c r="X29" s="51">
        <f>8401854.26/71275442.75</f>
        <v>0.11787866810550257</v>
      </c>
      <c r="Y29" s="51">
        <f>9139779.01/71275442.75</f>
        <v>0.12823180968595246</v>
      </c>
      <c r="Z29" s="51">
        <f>9960394.58/71275442.75</f>
        <v>0.13974510989621317</v>
      </c>
      <c r="AA29" s="51">
        <f>8482334.63/71275442.75</f>
        <v>0.11900781395005787</v>
      </c>
      <c r="AB29" s="51">
        <f>4532048.91/71275442.75</f>
        <v>6.3584998354850625E-2</v>
      </c>
      <c r="AC29" s="51">
        <f>2637769.53/71275442.75</f>
        <v>3.7008111464870555E-2</v>
      </c>
      <c r="AD29" s="51">
        <f>2096122.95/71275442.75</f>
        <v>2.9408767860652819E-2</v>
      </c>
      <c r="AE29" s="51"/>
      <c r="AF29" s="19">
        <f t="shared" si="12"/>
        <v>0.8469217520223683</v>
      </c>
      <c r="AG29" s="20">
        <f>AF29*(G29)</f>
        <v>22379907.043114558</v>
      </c>
      <c r="AH29" s="19">
        <v>1</v>
      </c>
      <c r="AI29" s="20">
        <f>G29*AH29</f>
        <v>26424999.699999999</v>
      </c>
      <c r="AY29"/>
    </row>
    <row r="30" spans="1:63" s="31" customFormat="1" ht="15" customHeight="1" x14ac:dyDescent="0.25">
      <c r="B30" s="106"/>
      <c r="C30" s="128"/>
      <c r="D30" s="94"/>
      <c r="E30" s="94"/>
      <c r="F30" s="66"/>
      <c r="G30" s="96"/>
      <c r="H30" s="66"/>
      <c r="I30" s="120"/>
      <c r="J30" s="100"/>
      <c r="K30" s="122"/>
      <c r="L30" s="66"/>
      <c r="M30" s="102"/>
      <c r="N30" s="104"/>
      <c r="O30" s="106"/>
      <c r="P30" s="70"/>
      <c r="Q30" s="108">
        <v>7.1773146011688452E-2</v>
      </c>
      <c r="R30" s="110"/>
      <c r="S30" s="68" t="s">
        <v>25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9">
        <f t="shared" si="12"/>
        <v>0</v>
      </c>
      <c r="AG30" s="30">
        <f>AF30*(G29)</f>
        <v>0</v>
      </c>
      <c r="AH30" s="29">
        <f>Q29+SUM(T30:AE30)</f>
        <v>7.1773146011688452E-2</v>
      </c>
      <c r="AI30" s="30">
        <f t="shared" ref="AI30" si="17">AI29*AH30</f>
        <v>1896605.3618269234</v>
      </c>
      <c r="BJ30"/>
      <c r="BK30"/>
    </row>
    <row r="31" spans="1:63" ht="15" customHeight="1" x14ac:dyDescent="0.25">
      <c r="B31" s="106" t="s">
        <v>81</v>
      </c>
      <c r="C31" s="128" t="s">
        <v>82</v>
      </c>
      <c r="D31" s="94">
        <v>52.14</v>
      </c>
      <c r="E31" s="94">
        <v>54.08</v>
      </c>
      <c r="F31" s="66"/>
      <c r="G31" s="96">
        <v>5848370.4100000001</v>
      </c>
      <c r="H31" s="66"/>
      <c r="I31" s="132" t="s">
        <v>51</v>
      </c>
      <c r="J31" s="100" t="s">
        <v>52</v>
      </c>
      <c r="K31" s="121" t="s">
        <v>13</v>
      </c>
      <c r="L31" s="66"/>
      <c r="M31" s="102">
        <v>44975</v>
      </c>
      <c r="N31" s="104">
        <v>45705</v>
      </c>
      <c r="O31" s="106">
        <f t="shared" ref="O31" si="18">N31-M31</f>
        <v>730</v>
      </c>
      <c r="P31" s="70"/>
      <c r="Q31" s="108">
        <v>2.0500000000000001E-2</v>
      </c>
      <c r="R31" s="110">
        <f>Q31*G31</f>
        <v>119891.59340500001</v>
      </c>
      <c r="S31" s="67" t="s">
        <v>24</v>
      </c>
      <c r="T31" s="51">
        <f>2237689/15774652.6</f>
        <v>0.14185345672842267</v>
      </c>
      <c r="U31" s="51">
        <f>2481915.27/15774652.6</f>
        <v>0.15733565314775935</v>
      </c>
      <c r="V31" s="51">
        <f>2280818.24/15774652.6</f>
        <v>0.1445875416616148</v>
      </c>
      <c r="W31" s="51">
        <f>26638.47/15774652.6</f>
        <v>1.6886882187186806E-3</v>
      </c>
      <c r="X31" s="51">
        <f>207418.93/15774652.6</f>
        <v>1.3148874669987978E-2</v>
      </c>
      <c r="Y31" s="51"/>
      <c r="Z31" s="51"/>
      <c r="AA31" s="51"/>
      <c r="AB31" s="51"/>
      <c r="AC31" s="51"/>
      <c r="AD31" s="51"/>
      <c r="AE31" s="51"/>
      <c r="AF31" s="19">
        <f t="shared" si="12"/>
        <v>0.45861421442650352</v>
      </c>
      <c r="AG31" s="20">
        <f>AF31*(G31)</f>
        <v>2682145.8012573584</v>
      </c>
      <c r="AH31" s="19">
        <v>1</v>
      </c>
      <c r="AI31" s="20">
        <f>G31*AH31</f>
        <v>5848370.4100000001</v>
      </c>
      <c r="AY31"/>
    </row>
    <row r="32" spans="1:63" s="31" customFormat="1" ht="15" customHeight="1" x14ac:dyDescent="0.25">
      <c r="B32" s="106"/>
      <c r="C32" s="128"/>
      <c r="D32" s="94"/>
      <c r="E32" s="94"/>
      <c r="F32" s="66"/>
      <c r="G32" s="96"/>
      <c r="H32" s="66"/>
      <c r="I32" s="98"/>
      <c r="J32" s="133"/>
      <c r="K32" s="122"/>
      <c r="L32" s="66"/>
      <c r="M32" s="102"/>
      <c r="N32" s="104"/>
      <c r="O32" s="106"/>
      <c r="P32" s="70"/>
      <c r="Q32" s="108">
        <v>2.0500000000000001E-2</v>
      </c>
      <c r="R32" s="110"/>
      <c r="S32" s="68" t="s">
        <v>25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9">
        <f t="shared" si="12"/>
        <v>0</v>
      </c>
      <c r="AG32" s="30">
        <f>AF32*(G31)</f>
        <v>0</v>
      </c>
      <c r="AH32" s="29">
        <f>Q31+SUM(T32:AE32)</f>
        <v>2.0500000000000001E-2</v>
      </c>
      <c r="AI32" s="30">
        <f t="shared" ref="AI32" si="19">AI31*AH32</f>
        <v>119891.59340500001</v>
      </c>
      <c r="BJ32"/>
      <c r="BK32"/>
    </row>
    <row r="33" spans="2:63" ht="15" customHeight="1" x14ac:dyDescent="0.25">
      <c r="B33" s="106" t="s">
        <v>83</v>
      </c>
      <c r="C33" s="128" t="s">
        <v>84</v>
      </c>
      <c r="D33" s="94">
        <v>56.2</v>
      </c>
      <c r="E33" s="94">
        <v>65.8</v>
      </c>
      <c r="F33" s="66"/>
      <c r="G33" s="96">
        <v>31907026.390000001</v>
      </c>
      <c r="H33" s="70"/>
      <c r="I33" s="98" t="s">
        <v>51</v>
      </c>
      <c r="J33" s="100" t="s">
        <v>52</v>
      </c>
      <c r="K33" s="121" t="s">
        <v>13</v>
      </c>
      <c r="L33" s="71"/>
      <c r="M33" s="102">
        <v>44975</v>
      </c>
      <c r="N33" s="104">
        <v>45705</v>
      </c>
      <c r="O33" s="106">
        <f t="shared" ref="O33" si="20">N33-M33</f>
        <v>730</v>
      </c>
      <c r="P33" s="70"/>
      <c r="Q33" s="108">
        <v>6.4116980873144713E-2</v>
      </c>
      <c r="R33" s="110">
        <f>Q33*G33</f>
        <v>2045782.2007665536</v>
      </c>
      <c r="S33" s="67" t="s">
        <v>24</v>
      </c>
      <c r="T33" s="51">
        <f>4225798.81/86061966.27</f>
        <v>4.9101815739864801E-2</v>
      </c>
      <c r="U33" s="51">
        <f>4412845.08/86061966.27</f>
        <v>5.1275206357192613E-2</v>
      </c>
      <c r="V33" s="51">
        <f>5043977.83/86061966.27</f>
        <v>5.8608675221010612E-2</v>
      </c>
      <c r="W33" s="51">
        <f>5148742.43/86061966.27</f>
        <v>5.9825991121873541E-2</v>
      </c>
      <c r="X33" s="51">
        <f>5492045.04/86061966.27</f>
        <v>6.3815007697708745E-2</v>
      </c>
      <c r="Y33" s="51">
        <f>6935765.68/86061966.27</f>
        <v>8.0590369713847809E-2</v>
      </c>
      <c r="Z33" s="51">
        <f>8180457.23/86061966.27</f>
        <v>9.5053106320342043E-2</v>
      </c>
      <c r="AA33" s="51">
        <f>7536459.58/86061966.27</f>
        <v>8.7570153305073922E-2</v>
      </c>
      <c r="AB33" s="51">
        <f>6591428.68/86061966.27</f>
        <v>7.6589334007555437E-2</v>
      </c>
      <c r="AC33" s="51">
        <f>2342275.9/86061966.27</f>
        <v>2.7216156003822153E-2</v>
      </c>
      <c r="AD33" s="51">
        <f>1978197.06/86061966.27</f>
        <v>2.2985729303393477E-2</v>
      </c>
      <c r="AE33" s="51"/>
      <c r="AF33" s="19">
        <f t="shared" si="12"/>
        <v>0.67263154479168508</v>
      </c>
      <c r="AG33" s="20">
        <f>AF33*(G33)</f>
        <v>21461672.450414762</v>
      </c>
      <c r="AH33" s="19">
        <v>1</v>
      </c>
      <c r="AI33" s="20">
        <f>G33*AH33</f>
        <v>31907026.390000001</v>
      </c>
      <c r="AY33"/>
    </row>
    <row r="34" spans="2:63" s="31" customFormat="1" ht="15" customHeight="1" x14ac:dyDescent="0.25">
      <c r="B34" s="107"/>
      <c r="C34" s="129"/>
      <c r="D34" s="95"/>
      <c r="E34" s="95"/>
      <c r="F34" s="66"/>
      <c r="G34" s="97"/>
      <c r="H34" s="70"/>
      <c r="I34" s="99"/>
      <c r="J34" s="101"/>
      <c r="K34" s="122"/>
      <c r="L34" s="71"/>
      <c r="M34" s="103"/>
      <c r="N34" s="105"/>
      <c r="O34" s="107"/>
      <c r="P34" s="70"/>
      <c r="Q34" s="108">
        <v>6.4116980873144713E-2</v>
      </c>
      <c r="R34" s="111"/>
      <c r="S34" s="72" t="s">
        <v>25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9">
        <f t="shared" si="12"/>
        <v>0</v>
      </c>
      <c r="AG34" s="30">
        <f>AF34*(G33)</f>
        <v>0</v>
      </c>
      <c r="AH34" s="29">
        <f>Q33+SUM(T34:AE34)</f>
        <v>6.4116980873144713E-2</v>
      </c>
      <c r="AI34" s="30">
        <f t="shared" ref="AI34" si="21">AI33*AH34</f>
        <v>2045782.2007665536</v>
      </c>
      <c r="BJ34"/>
      <c r="BK34"/>
    </row>
    <row r="35" spans="2:63" ht="18.600000000000001" customHeight="1" x14ac:dyDescent="0.25">
      <c r="B35" s="88" t="s">
        <v>4</v>
      </c>
      <c r="C35" s="114" t="s">
        <v>5</v>
      </c>
      <c r="D35" s="116">
        <v>0</v>
      </c>
      <c r="E35" s="116">
        <v>0</v>
      </c>
      <c r="F35" s="1"/>
      <c r="G35" s="118"/>
      <c r="H35" s="5"/>
      <c r="I35" s="78"/>
      <c r="J35" s="80"/>
      <c r="K35" s="82"/>
      <c r="L35" s="5"/>
      <c r="M35" s="84"/>
      <c r="N35" s="86"/>
      <c r="O35" s="88"/>
      <c r="P35" s="55"/>
      <c r="Q35" s="123"/>
      <c r="R35" s="125"/>
      <c r="S35" s="56"/>
      <c r="T35" s="45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3"/>
      <c r="AF35" s="53"/>
      <c r="AG35" s="54"/>
      <c r="AH35" s="53"/>
      <c r="AI35" s="54"/>
      <c r="AJ35" s="45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3"/>
      <c r="AV35" s="25"/>
      <c r="AW35" s="25"/>
      <c r="AY35" s="76"/>
    </row>
    <row r="36" spans="2:63" ht="18.600000000000001" customHeight="1" x14ac:dyDescent="0.25">
      <c r="B36" s="89"/>
      <c r="C36" s="115"/>
      <c r="D36" s="117"/>
      <c r="E36" s="117"/>
      <c r="F36" s="1"/>
      <c r="G36" s="119"/>
      <c r="H36" s="5"/>
      <c r="I36" s="79"/>
      <c r="J36" s="81"/>
      <c r="K36" s="83"/>
      <c r="L36" s="5"/>
      <c r="M36" s="85"/>
      <c r="N36" s="87"/>
      <c r="O36" s="89"/>
      <c r="P36" s="55"/>
      <c r="Q36" s="124"/>
      <c r="R36" s="126"/>
      <c r="S36" s="57"/>
      <c r="T36" s="4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  <c r="AF36" s="23"/>
      <c r="AG36" s="24"/>
      <c r="AH36" s="23"/>
      <c r="AI36" s="24"/>
      <c r="AJ36" s="4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5"/>
      <c r="AV36" s="22"/>
      <c r="AW36" s="22"/>
      <c r="AY36" s="77"/>
    </row>
    <row r="37" spans="2:63" ht="15" customHeight="1" x14ac:dyDescent="0.25">
      <c r="B37" s="90"/>
      <c r="C37" s="92" t="s">
        <v>56</v>
      </c>
      <c r="D37" s="94" t="s">
        <v>3</v>
      </c>
      <c r="E37" s="94" t="s">
        <v>3</v>
      </c>
      <c r="F37" s="66"/>
      <c r="G37" s="96">
        <v>180000</v>
      </c>
      <c r="H37" s="66"/>
      <c r="I37" s="98" t="s">
        <v>68</v>
      </c>
      <c r="J37" s="100" t="s">
        <v>50</v>
      </c>
      <c r="K37" s="121" t="s">
        <v>50</v>
      </c>
      <c r="L37" s="66"/>
      <c r="M37" s="102">
        <v>45340</v>
      </c>
      <c r="N37" s="104">
        <v>46070</v>
      </c>
      <c r="O37" s="106">
        <f>N37-M37</f>
        <v>730</v>
      </c>
      <c r="P37" s="70"/>
      <c r="Q37" s="108">
        <v>0</v>
      </c>
      <c r="R37" s="110">
        <f>Q37*G37</f>
        <v>0</v>
      </c>
      <c r="S37" s="67" t="s">
        <v>24</v>
      </c>
      <c r="T37" s="51"/>
      <c r="U37" s="51"/>
      <c r="V37" s="51"/>
      <c r="W37" s="51"/>
      <c r="X37" s="51"/>
      <c r="Y37" s="51"/>
      <c r="Z37" s="51"/>
      <c r="AA37" s="51"/>
      <c r="AB37" s="51"/>
      <c r="AC37" s="51">
        <v>0.1</v>
      </c>
      <c r="AD37" s="51">
        <v>0.15</v>
      </c>
      <c r="AE37" s="51">
        <v>0.21</v>
      </c>
      <c r="AF37" s="19">
        <f t="shared" ref="AF37" si="22">SUM(T37:AE37)</f>
        <v>0.45999999999999996</v>
      </c>
      <c r="AG37" s="20">
        <f>AF37*(G37)</f>
        <v>82800</v>
      </c>
      <c r="AH37" s="19">
        <f>Q37+SUM(T37:AE37)</f>
        <v>0.45999999999999996</v>
      </c>
      <c r="AI37" s="20">
        <f>G37*AH37</f>
        <v>82800</v>
      </c>
      <c r="AY37"/>
    </row>
    <row r="38" spans="2:63" s="31" customFormat="1" ht="15" customHeight="1" x14ac:dyDescent="0.25">
      <c r="B38" s="112"/>
      <c r="C38" s="113"/>
      <c r="D38" s="94"/>
      <c r="E38" s="94"/>
      <c r="F38" s="66"/>
      <c r="G38" s="96"/>
      <c r="H38" s="66"/>
      <c r="I38" s="120"/>
      <c r="J38" s="100"/>
      <c r="K38" s="122"/>
      <c r="L38" s="66"/>
      <c r="M38" s="102"/>
      <c r="N38" s="104"/>
      <c r="O38" s="106"/>
      <c r="P38" s="70"/>
      <c r="Q38" s="108"/>
      <c r="R38" s="110"/>
      <c r="S38" s="68" t="s">
        <v>25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9">
        <f>SUM(T38:AE38)</f>
        <v>0</v>
      </c>
      <c r="AG38" s="30">
        <f>AF38*(G37)</f>
        <v>0</v>
      </c>
      <c r="AH38" s="29">
        <f>Q37+SUM(T38:AE38)</f>
        <v>0</v>
      </c>
      <c r="AI38" s="30">
        <f>AI37*AH38</f>
        <v>0</v>
      </c>
      <c r="BJ38"/>
      <c r="BK38"/>
    </row>
    <row r="39" spans="2:63" ht="15" customHeight="1" x14ac:dyDescent="0.25">
      <c r="B39" s="90"/>
      <c r="C39" s="92" t="s">
        <v>57</v>
      </c>
      <c r="D39" s="94" t="s">
        <v>3</v>
      </c>
      <c r="E39" s="94" t="s">
        <v>3</v>
      </c>
      <c r="F39" s="66"/>
      <c r="G39" s="96">
        <v>180000</v>
      </c>
      <c r="H39" s="66"/>
      <c r="I39" s="98" t="s">
        <v>68</v>
      </c>
      <c r="J39" s="100" t="s">
        <v>50</v>
      </c>
      <c r="K39" s="100" t="s">
        <v>50</v>
      </c>
      <c r="L39" s="66"/>
      <c r="M39" s="102">
        <v>45340</v>
      </c>
      <c r="N39" s="104">
        <v>46070</v>
      </c>
      <c r="O39" s="106">
        <f>N39-M39</f>
        <v>730</v>
      </c>
      <c r="P39" s="70"/>
      <c r="Q39" s="108">
        <v>0</v>
      </c>
      <c r="R39" s="110">
        <f>Q39*G39</f>
        <v>0</v>
      </c>
      <c r="S39" s="67" t="s">
        <v>24</v>
      </c>
      <c r="T39" s="51"/>
      <c r="U39" s="51"/>
      <c r="V39" s="51"/>
      <c r="W39" s="51"/>
      <c r="X39" s="51"/>
      <c r="Y39" s="51"/>
      <c r="Z39" s="51"/>
      <c r="AA39" s="51"/>
      <c r="AB39" s="51"/>
      <c r="AC39" s="51">
        <v>0.1</v>
      </c>
      <c r="AD39" s="51">
        <v>0.15</v>
      </c>
      <c r="AE39" s="51">
        <v>0.21</v>
      </c>
      <c r="AF39" s="19">
        <f t="shared" ref="AF39" si="23">SUM(T39:AE39)</f>
        <v>0.45999999999999996</v>
      </c>
      <c r="AG39" s="20">
        <f>AF39*(G39)</f>
        <v>82800</v>
      </c>
      <c r="AH39" s="19">
        <f>Q39+SUM(T39:AE39)</f>
        <v>0.45999999999999996</v>
      </c>
      <c r="AI39" s="20">
        <f>G39*AH39</f>
        <v>82800</v>
      </c>
      <c r="AY39"/>
    </row>
    <row r="40" spans="2:63" s="31" customFormat="1" ht="15" customHeight="1" x14ac:dyDescent="0.25">
      <c r="B40" s="91"/>
      <c r="C40" s="93"/>
      <c r="D40" s="95"/>
      <c r="E40" s="95"/>
      <c r="F40" s="73"/>
      <c r="G40" s="97"/>
      <c r="H40" s="73"/>
      <c r="I40" s="99"/>
      <c r="J40" s="101"/>
      <c r="K40" s="101"/>
      <c r="L40" s="73"/>
      <c r="M40" s="103"/>
      <c r="N40" s="105"/>
      <c r="O40" s="107"/>
      <c r="P40" s="74"/>
      <c r="Q40" s="109"/>
      <c r="R40" s="111"/>
      <c r="S40" s="72" t="s">
        <v>25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2">
        <f>SUM(T40:AE40)</f>
        <v>0</v>
      </c>
      <c r="AG40" s="43">
        <f>AF40*(G39)</f>
        <v>0</v>
      </c>
      <c r="AH40" s="42">
        <f>Q39+SUM(T40:AE40)</f>
        <v>0</v>
      </c>
      <c r="AI40" s="43">
        <f>AI39*AH40</f>
        <v>0</v>
      </c>
      <c r="BJ40"/>
      <c r="BK40"/>
    </row>
    <row r="41" spans="2:63" ht="6.95" customHeight="1" x14ac:dyDescent="0.25"/>
    <row r="42" spans="2:63" x14ac:dyDescent="0.25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AY42" s="36"/>
    </row>
    <row r="43" spans="2:63" x14ac:dyDescent="0.25">
      <c r="AY43" s="37"/>
    </row>
  </sheetData>
  <sheetProtection algorithmName="SHA-512" hashValue="9DXMWcWXcASsQRqbI/wMG65SjKKVyTT+U48Als6h3VpKQf0ZtPU+LHDjP0aN5oeDR5MEawFPIF4ejDDPGLot7Q==" saltValue="r4HPoTHrtQ6+fzKDBHbdJg==" spinCount="100000" sheet="1" objects="1" scenarios="1"/>
  <dataConsolidate/>
  <mergeCells count="249">
    <mergeCell ref="C2:AI3"/>
    <mergeCell ref="B5:B6"/>
    <mergeCell ref="C5:C6"/>
    <mergeCell ref="D5:D6"/>
    <mergeCell ref="E5:E6"/>
    <mergeCell ref="G5:G6"/>
    <mergeCell ref="I5:K5"/>
    <mergeCell ref="M5:N5"/>
    <mergeCell ref="O5:O6"/>
    <mergeCell ref="Q5:R5"/>
    <mergeCell ref="AJ5:AU5"/>
    <mergeCell ref="AV5:AV6"/>
    <mergeCell ref="AW5:AW6"/>
    <mergeCell ref="AY5:AY6"/>
    <mergeCell ref="AF6:AG6"/>
    <mergeCell ref="AH6:AI6"/>
    <mergeCell ref="S5:S6"/>
    <mergeCell ref="T5:AE5"/>
    <mergeCell ref="AF5:AI5"/>
    <mergeCell ref="R7:R8"/>
    <mergeCell ref="S7:S8"/>
    <mergeCell ref="AY7:AY8"/>
    <mergeCell ref="B9:B10"/>
    <mergeCell ref="C9:C10"/>
    <mergeCell ref="D9:D10"/>
    <mergeCell ref="E9:E10"/>
    <mergeCell ref="G9:G10"/>
    <mergeCell ref="I9:I10"/>
    <mergeCell ref="J9:J10"/>
    <mergeCell ref="J7:J8"/>
    <mergeCell ref="K7:K8"/>
    <mergeCell ref="M7:M8"/>
    <mergeCell ref="N7:N8"/>
    <mergeCell ref="O7:O8"/>
    <mergeCell ref="Q7:Q8"/>
    <mergeCell ref="B7:B8"/>
    <mergeCell ref="C7:C8"/>
    <mergeCell ref="D7:D8"/>
    <mergeCell ref="E7:E8"/>
    <mergeCell ref="G7:G8"/>
    <mergeCell ref="I7:I8"/>
    <mergeCell ref="AW9:AW10"/>
    <mergeCell ref="AY9:AY10"/>
    <mergeCell ref="C11:C12"/>
    <mergeCell ref="D11:D12"/>
    <mergeCell ref="E11:E12"/>
    <mergeCell ref="G11:G12"/>
    <mergeCell ref="I11:I12"/>
    <mergeCell ref="J11:J12"/>
    <mergeCell ref="K9:K10"/>
    <mergeCell ref="M9:M10"/>
    <mergeCell ref="N9:N10"/>
    <mergeCell ref="O9:O10"/>
    <mergeCell ref="Q9:Q10"/>
    <mergeCell ref="R9:R10"/>
    <mergeCell ref="K11:K12"/>
    <mergeCell ref="M11:M12"/>
    <mergeCell ref="N11:N12"/>
    <mergeCell ref="O11:O12"/>
    <mergeCell ref="Q11:Q12"/>
    <mergeCell ref="R11:R12"/>
    <mergeCell ref="S13:S14"/>
    <mergeCell ref="B17:B18"/>
    <mergeCell ref="C17:C18"/>
    <mergeCell ref="D17:D18"/>
    <mergeCell ref="E17:E18"/>
    <mergeCell ref="G17:G18"/>
    <mergeCell ref="I17:I18"/>
    <mergeCell ref="J17:J18"/>
    <mergeCell ref="K17:K18"/>
    <mergeCell ref="M17:M18"/>
    <mergeCell ref="N17:N18"/>
    <mergeCell ref="O17:O18"/>
    <mergeCell ref="Q17:Q18"/>
    <mergeCell ref="O15:O16"/>
    <mergeCell ref="Q15:Q16"/>
    <mergeCell ref="R15:R16"/>
    <mergeCell ref="R17:R18"/>
    <mergeCell ref="B13:B14"/>
    <mergeCell ref="C13:C14"/>
    <mergeCell ref="D13:D14"/>
    <mergeCell ref="E13:E14"/>
    <mergeCell ref="G13:G14"/>
    <mergeCell ref="I13:I14"/>
    <mergeCell ref="J13:J14"/>
    <mergeCell ref="D19:D20"/>
    <mergeCell ref="E19:E20"/>
    <mergeCell ref="G19:G20"/>
    <mergeCell ref="I19:I20"/>
    <mergeCell ref="J19:J20"/>
    <mergeCell ref="K19:K20"/>
    <mergeCell ref="M19:M20"/>
    <mergeCell ref="AY13:AY14"/>
    <mergeCell ref="B15:B16"/>
    <mergeCell ref="C15:C16"/>
    <mergeCell ref="D15:D16"/>
    <mergeCell ref="E15:E16"/>
    <mergeCell ref="G15:G16"/>
    <mergeCell ref="I15:I16"/>
    <mergeCell ref="J15:J16"/>
    <mergeCell ref="K15:K16"/>
    <mergeCell ref="K13:K14"/>
    <mergeCell ref="M13:M14"/>
    <mergeCell ref="N13:N14"/>
    <mergeCell ref="O13:O14"/>
    <mergeCell ref="Q13:Q14"/>
    <mergeCell ref="R13:R14"/>
    <mergeCell ref="M15:M16"/>
    <mergeCell ref="N15:N16"/>
    <mergeCell ref="M25:M26"/>
    <mergeCell ref="N19:N20"/>
    <mergeCell ref="O19:O20"/>
    <mergeCell ref="Q19:Q20"/>
    <mergeCell ref="R19:R20"/>
    <mergeCell ref="B25:B26"/>
    <mergeCell ref="C25:C26"/>
    <mergeCell ref="D25:D26"/>
    <mergeCell ref="E25:E26"/>
    <mergeCell ref="G25:G26"/>
    <mergeCell ref="I25:I26"/>
    <mergeCell ref="N25:N26"/>
    <mergeCell ref="O25:O26"/>
    <mergeCell ref="Q25:Q26"/>
    <mergeCell ref="B21:B22"/>
    <mergeCell ref="C21:C22"/>
    <mergeCell ref="D21:D22"/>
    <mergeCell ref="E21:E22"/>
    <mergeCell ref="G21:G22"/>
    <mergeCell ref="I21:I22"/>
    <mergeCell ref="J21:J22"/>
    <mergeCell ref="K21:K22"/>
    <mergeCell ref="B19:B20"/>
    <mergeCell ref="C19:C20"/>
    <mergeCell ref="Q27:Q28"/>
    <mergeCell ref="R23:R24"/>
    <mergeCell ref="J23:J24"/>
    <mergeCell ref="K23:K24"/>
    <mergeCell ref="M23:M24"/>
    <mergeCell ref="N23:N24"/>
    <mergeCell ref="O23:O24"/>
    <mergeCell ref="Q23:Q24"/>
    <mergeCell ref="B23:B24"/>
    <mergeCell ref="C23:C24"/>
    <mergeCell ref="D23:D24"/>
    <mergeCell ref="E23:E24"/>
    <mergeCell ref="G23:G24"/>
    <mergeCell ref="I23:I24"/>
    <mergeCell ref="R25:R26"/>
    <mergeCell ref="B27:B28"/>
    <mergeCell ref="C27:C28"/>
    <mergeCell ref="D27:D28"/>
    <mergeCell ref="E27:E28"/>
    <mergeCell ref="G27:G28"/>
    <mergeCell ref="I27:I28"/>
    <mergeCell ref="J27:J28"/>
    <mergeCell ref="J25:J26"/>
    <mergeCell ref="K25:K26"/>
    <mergeCell ref="B29:B30"/>
    <mergeCell ref="C29:C30"/>
    <mergeCell ref="D29:D30"/>
    <mergeCell ref="E29:E30"/>
    <mergeCell ref="G29:G30"/>
    <mergeCell ref="I29:I30"/>
    <mergeCell ref="J29:J30"/>
    <mergeCell ref="K27:K28"/>
    <mergeCell ref="M27:M28"/>
    <mergeCell ref="N29:N30"/>
    <mergeCell ref="O29:O30"/>
    <mergeCell ref="Q29:Q30"/>
    <mergeCell ref="R29:R30"/>
    <mergeCell ref="M31:M32"/>
    <mergeCell ref="N31:N32"/>
    <mergeCell ref="O31:O32"/>
    <mergeCell ref="Q31:Q32"/>
    <mergeCell ref="R31:R32"/>
    <mergeCell ref="C31:C32"/>
    <mergeCell ref="D31:D32"/>
    <mergeCell ref="E31:E32"/>
    <mergeCell ref="G31:G32"/>
    <mergeCell ref="I31:I32"/>
    <mergeCell ref="J31:J32"/>
    <mergeCell ref="K31:K32"/>
    <mergeCell ref="K29:K30"/>
    <mergeCell ref="M29:M30"/>
    <mergeCell ref="AY21:AY22"/>
    <mergeCell ref="B33:B34"/>
    <mergeCell ref="C33:C34"/>
    <mergeCell ref="D33:D34"/>
    <mergeCell ref="E33:E34"/>
    <mergeCell ref="G33:G34"/>
    <mergeCell ref="I33:I34"/>
    <mergeCell ref="J33:J34"/>
    <mergeCell ref="K33:K34"/>
    <mergeCell ref="M33:M34"/>
    <mergeCell ref="M21:M22"/>
    <mergeCell ref="N21:N22"/>
    <mergeCell ref="O21:O22"/>
    <mergeCell ref="Q21:Q22"/>
    <mergeCell ref="R21:R22"/>
    <mergeCell ref="S21:S22"/>
    <mergeCell ref="N33:N34"/>
    <mergeCell ref="O33:O34"/>
    <mergeCell ref="Q33:Q34"/>
    <mergeCell ref="R33:R34"/>
    <mergeCell ref="N27:N28"/>
    <mergeCell ref="O27:O28"/>
    <mergeCell ref="R27:R28"/>
    <mergeCell ref="B31:B32"/>
    <mergeCell ref="E37:E38"/>
    <mergeCell ref="G37:G38"/>
    <mergeCell ref="Q37:Q38"/>
    <mergeCell ref="R37:R38"/>
    <mergeCell ref="B35:B36"/>
    <mergeCell ref="C35:C36"/>
    <mergeCell ref="D35:D36"/>
    <mergeCell ref="E35:E36"/>
    <mergeCell ref="G35:G36"/>
    <mergeCell ref="I37:I38"/>
    <mergeCell ref="J37:J38"/>
    <mergeCell ref="K37:K38"/>
    <mergeCell ref="M37:M38"/>
    <mergeCell ref="N37:N38"/>
    <mergeCell ref="O37:O38"/>
    <mergeCell ref="Q35:Q36"/>
    <mergeCell ref="R35:R36"/>
    <mergeCell ref="B42:P42"/>
    <mergeCell ref="AY35:AY36"/>
    <mergeCell ref="I35:I36"/>
    <mergeCell ref="J35:J36"/>
    <mergeCell ref="K35:K36"/>
    <mergeCell ref="M35:M36"/>
    <mergeCell ref="N35:N36"/>
    <mergeCell ref="O35:O36"/>
    <mergeCell ref="B39:B40"/>
    <mergeCell ref="C39:C40"/>
    <mergeCell ref="D39:D40"/>
    <mergeCell ref="E39:E40"/>
    <mergeCell ref="G39:G40"/>
    <mergeCell ref="I39:I40"/>
    <mergeCell ref="J39:J40"/>
    <mergeCell ref="K39:K40"/>
    <mergeCell ref="M39:M40"/>
    <mergeCell ref="N39:N40"/>
    <mergeCell ref="O39:O40"/>
    <mergeCell ref="Q39:Q40"/>
    <mergeCell ref="R39:R40"/>
    <mergeCell ref="B37:B38"/>
    <mergeCell ref="C37:C38"/>
    <mergeCell ref="D37:D38"/>
  </mergeCells>
  <phoneticPr fontId="39" type="noConversion"/>
  <conditionalFormatting sqref="I7:I40">
    <cfRule type="cellIs" dxfId="16" priority="5" operator="equal">
      <formula>"Aprovado"</formula>
    </cfRule>
  </conditionalFormatting>
  <conditionalFormatting sqref="I7:K40">
    <cfRule type="cellIs" dxfId="15" priority="2" operator="equal">
      <formula>"Não se aplica"</formula>
    </cfRule>
  </conditionalFormatting>
  <conditionalFormatting sqref="I11:K12">
    <cfRule type="cellIs" dxfId="14" priority="27" operator="equal">
      <formula>"Aprovado"</formula>
    </cfRule>
  </conditionalFormatting>
  <conditionalFormatting sqref="J7:J40">
    <cfRule type="cellIs" dxfId="13" priority="3" operator="equal">
      <formula>"Licenciada"</formula>
    </cfRule>
  </conditionalFormatting>
  <conditionalFormatting sqref="J9:K10">
    <cfRule type="cellIs" dxfId="12" priority="33" operator="equal">
      <formula>"Aprovado"</formula>
    </cfRule>
  </conditionalFormatting>
  <conditionalFormatting sqref="K7:K40">
    <cfRule type="cellIs" dxfId="11" priority="4" operator="equal">
      <formula>"Publicado"</formula>
    </cfRule>
  </conditionalFormatting>
  <conditionalFormatting sqref="K39:K40">
    <cfRule type="cellIs" dxfId="10" priority="1" operator="equal">
      <formula>"Licenciada"</formula>
    </cfRule>
  </conditionalFormatting>
  <conditionalFormatting sqref="M27:M28">
    <cfRule type="cellIs" dxfId="9" priority="15" operator="equal">
      <formula>#REF!</formula>
    </cfRule>
  </conditionalFormatting>
  <conditionalFormatting sqref="M29:M30">
    <cfRule type="cellIs" dxfId="8" priority="16" operator="equal">
      <formula>#REF!</formula>
    </cfRule>
  </conditionalFormatting>
  <conditionalFormatting sqref="M31:M32">
    <cfRule type="cellIs" dxfId="7" priority="14" operator="equal">
      <formula>#REF!</formula>
    </cfRule>
  </conditionalFormatting>
  <conditionalFormatting sqref="M7:N26">
    <cfRule type="cellIs" dxfId="6" priority="12" operator="equal">
      <formula>#REF!</formula>
    </cfRule>
  </conditionalFormatting>
  <conditionalFormatting sqref="M33:N40">
    <cfRule type="cellIs" dxfId="5" priority="6" operator="equal">
      <formula>#REF!</formula>
    </cfRule>
  </conditionalFormatting>
  <conditionalFormatting sqref="N27:N32">
    <cfRule type="cellIs" dxfId="4" priority="13" operator="equal">
      <formula>#REF!</formula>
    </cfRule>
  </conditionalFormatting>
  <conditionalFormatting sqref="AY7:AY10 AY13:AY14 AY21:AY22">
    <cfRule type="cellIs" dxfId="3" priority="39" operator="equal">
      <formula>"Em andamento"</formula>
    </cfRule>
    <cfRule type="cellIs" dxfId="2" priority="40" operator="equal">
      <formula>"Concluída"</formula>
    </cfRule>
  </conditionalFormatting>
  <conditionalFormatting sqref="AY35:AY36">
    <cfRule type="cellIs" dxfId="1" priority="42" operator="equal">
      <formula>"Em andamento"</formula>
    </cfRule>
    <cfRule type="cellIs" dxfId="0" priority="43" operator="equal">
      <formula>"Concluída"</formula>
    </cfRule>
  </conditionalFormatting>
  <pageMargins left="0.23622047244094491" right="0.23622047244094491" top="0.19685039370078741" bottom="0.36" header="0.31496062992125984" footer="0.17"/>
  <pageSetup paperSize="8" scale="48" fitToWidth="2" fitToHeight="0" pageOrder="overThenDown" orientation="landscape" r:id="rId1"/>
  <headerFooter>
    <oddFooter>&amp;CPágina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724c2-2cd3-4176-aded-2ec3fe7585b8">
      <Terms xmlns="http://schemas.microsoft.com/office/infopath/2007/PartnerControls"/>
    </lcf76f155ced4ddcb4097134ff3c332f>
    <TaxCatchAll xmlns="cefe9c9e-e0a2-4cce-92b9-80bc679527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50FD4C8D7C4148BAD2B6C2F1812700" ma:contentTypeVersion="18" ma:contentTypeDescription="Crie um novo documento." ma:contentTypeScope="" ma:versionID="f80033b2c607cc79eef89dc305cfae26">
  <xsd:schema xmlns:xsd="http://www.w3.org/2001/XMLSchema" xmlns:xs="http://www.w3.org/2001/XMLSchema" xmlns:p="http://schemas.microsoft.com/office/2006/metadata/properties" xmlns:ns2="e89724c2-2cd3-4176-aded-2ec3fe7585b8" xmlns:ns3="cefe9c9e-e0a2-4cce-92b9-80bc67952752" targetNamespace="http://schemas.microsoft.com/office/2006/metadata/properties" ma:root="true" ma:fieldsID="9f35c79d783b66f68331fc445516cedc" ns2:_="" ns3:_="">
    <xsd:import namespace="e89724c2-2cd3-4176-aded-2ec3fe7585b8"/>
    <xsd:import namespace="cefe9c9e-e0a2-4cce-92b9-80bc67952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724c2-2cd3-4176-aded-2ec3fe758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f0876318-8563-4402-a3d0-6c7b659d2f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e9c9e-e0a2-4cce-92b9-80bc6795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53ffbbf2-b820-4cea-9fe9-6a063095dddc}" ma:internalName="TaxCatchAll" ma:showField="CatchAllData" ma:web="cefe9c9e-e0a2-4cce-92b9-80bc679527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315A05-DC21-4895-AE84-AB85D4B0B006}">
  <ds:schemaRefs>
    <ds:schemaRef ds:uri="http://schemas.microsoft.com/office/2006/metadata/properties"/>
    <ds:schemaRef ds:uri="http://schemas.microsoft.com/office/infopath/2007/PartnerControls"/>
    <ds:schemaRef ds:uri="e89724c2-2cd3-4176-aded-2ec3fe7585b8"/>
    <ds:schemaRef ds:uri="cefe9c9e-e0a2-4cce-92b9-80bc67952752"/>
  </ds:schemaRefs>
</ds:datastoreItem>
</file>

<file path=customXml/itemProps2.xml><?xml version="1.0" encoding="utf-8"?>
<ds:datastoreItem xmlns:ds="http://schemas.openxmlformats.org/officeDocument/2006/customXml" ds:itemID="{1758CB41-DFF3-432F-BB60-FDEB7D918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724c2-2cd3-4176-aded-2ec3fe7585b8"/>
    <ds:schemaRef ds:uri="cefe9c9e-e0a2-4cce-92b9-80bc6795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90D43B-90DB-40A3-B942-1B432004ED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17º ano</vt:lpstr>
      <vt:lpstr>'17º ano'!Area_de_impressao</vt:lpstr>
      <vt:lpstr>'17º ano'!Titulos_de_impressao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dbarbosa</dc:creator>
  <cp:lastModifiedBy>Vinicius De Amorim Rodrigues Vieira</cp:lastModifiedBy>
  <cp:lastPrinted>2017-01-04T20:45:58Z</cp:lastPrinted>
  <dcterms:created xsi:type="dcterms:W3CDTF">2015-01-28T19:27:16Z</dcterms:created>
  <dcterms:modified xsi:type="dcterms:W3CDTF">2024-02-28T19:28:34Z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0x0101005550FD4C8D7C4148BAD2B6C2F1812700</vt:lpwstr>
  </property>
</Properties>
</file>